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ZJzS4H+1SDVgiAcWAK26nf2zlwlayPpyW+zJsB1XQC0RawttHrg1SGVBfvuP8xAsfxOgakbboCgo7vNxW2QKKA==" workbookSaltValue="rMGDNZeM/6dk7cRitwbt1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AY18" i="8" s="1"/>
  <c r="BB15" i="8"/>
  <c r="BE15" i="8" s="1"/>
  <c r="BA15" i="8"/>
  <c r="AZ15" i="8"/>
  <c r="BD15" i="8" s="1"/>
  <c r="AY15" i="8"/>
  <c r="BB12" i="8"/>
  <c r="BA12" i="8"/>
  <c r="AZ12" i="8"/>
  <c r="AY12" i="8"/>
  <c r="BB11" i="8"/>
  <c r="BE11" i="8" s="1"/>
  <c r="BA11" i="8"/>
  <c r="AZ11" i="8"/>
  <c r="BD11" i="8" s="1"/>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F9" i="2" s="1"/>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2" i="13"/>
  <c r="AZ13" i="13"/>
  <c r="AM19" i="8"/>
  <c r="AP13" i="17"/>
  <c r="BD17" i="8"/>
  <c r="BF17" i="8"/>
  <c r="AB19" i="19"/>
  <c r="BF9" i="13"/>
  <c r="E18" i="12"/>
  <c r="ER19" i="8"/>
  <c r="EL19" i="8"/>
  <c r="AC11" i="11"/>
  <c r="EQ19" i="8"/>
  <c r="AP12" i="11"/>
  <c r="B9" i="6"/>
  <c r="Y11" i="11"/>
  <c r="AT18" i="17"/>
  <c r="N10" i="11"/>
  <c r="N9" i="11"/>
  <c r="T10" i="21"/>
  <c r="F10" i="10"/>
  <c r="N11" i="11"/>
  <c r="ES19" i="8"/>
  <c r="C18" i="7"/>
  <c r="S19" i="13"/>
  <c r="AG19" i="19"/>
  <c r="F9" i="11"/>
  <c r="CI19" i="8"/>
  <c r="AE19" i="8"/>
  <c r="F17" i="16"/>
  <c r="BL17" i="16" s="1"/>
  <c r="EP19" i="8"/>
  <c r="ER19" i="13"/>
  <c r="AL13" i="16"/>
  <c r="S13" i="16"/>
  <c r="H18" i="16"/>
  <c r="P13" i="16"/>
  <c r="AN13" i="20"/>
  <c r="F15" i="17"/>
  <c r="Z13" i="17"/>
  <c r="F17" i="17"/>
  <c r="AQ17" i="17" s="1"/>
  <c r="N13" i="2"/>
  <c r="AO9" i="11"/>
  <c r="E11" i="6"/>
  <c r="AC10" i="11"/>
  <c r="H13" i="12"/>
  <c r="T19" i="8"/>
  <c r="AJ19" i="8"/>
  <c r="T13" i="12"/>
  <c r="S19" i="8"/>
  <c r="BF15" i="8"/>
  <c r="AZ18" i="13"/>
  <c r="BD12" i="8"/>
  <c r="H12" i="7" s="1"/>
  <c r="BG15" i="8"/>
  <c r="BD9" i="8"/>
  <c r="BA13" i="8"/>
  <c r="AV18" i="17"/>
  <c r="J18" i="17"/>
  <c r="T13" i="16"/>
  <c r="AP13" i="16"/>
  <c r="F11" i="11"/>
  <c r="AQ11" i="11" s="1"/>
  <c r="T18" i="17"/>
  <c r="BF15" i="13"/>
  <c r="BG15" i="13"/>
  <c r="BA18" i="13"/>
  <c r="BE15" i="13"/>
  <c r="BF16" i="13"/>
  <c r="J20" i="20"/>
  <c r="AL20" i="20"/>
  <c r="AN20" i="20"/>
  <c r="AK20" i="20"/>
  <c r="AM20" i="20"/>
  <c r="AJ20" i="20"/>
  <c r="F20" i="20"/>
  <c r="G18" i="14"/>
  <c r="AC20" i="20"/>
  <c r="AP20" i="20"/>
  <c r="AF20" i="20"/>
  <c r="S20" i="20"/>
  <c r="AQ20" i="21"/>
  <c r="AE20" i="20"/>
  <c r="U16" i="11"/>
  <c r="AZ20" i="20"/>
  <c r="G13" i="14"/>
  <c r="AA20" i="20"/>
  <c r="O16" i="11"/>
  <c r="T20" i="20"/>
  <c r="I20" i="20"/>
  <c r="AD20" i="20"/>
  <c r="M20" i="20"/>
  <c r="W20" i="21"/>
  <c r="W20" i="20"/>
  <c r="AI20" i="20"/>
  <c r="AG20" i="20"/>
  <c r="AU20" i="20"/>
  <c r="Y20" i="20"/>
  <c r="O20" i="20"/>
  <c r="AH20" i="20"/>
  <c r="Q20" i="20"/>
  <c r="H20" i="20"/>
  <c r="N20" i="20"/>
  <c r="U12" i="11"/>
  <c r="R20" i="20"/>
  <c r="T20" i="21"/>
  <c r="AV20" i="20"/>
  <c r="AX20" i="20"/>
  <c r="AO20" i="20"/>
  <c r="X20" i="20"/>
  <c r="Z20" i="20"/>
  <c r="K20" i="20"/>
  <c r="E20" i="20"/>
  <c r="AQ20" i="20"/>
  <c r="P20" i="20"/>
  <c r="L20" i="20"/>
  <c r="AB20" i="20"/>
  <c r="U10" i="11"/>
  <c r="Y19" i="8" l="1"/>
  <c r="BG16" i="8"/>
  <c r="K16" i="7" s="1"/>
  <c r="AW18" i="21"/>
  <c r="C19" i="3"/>
  <c r="AB19" i="8"/>
  <c r="Z19" i="8"/>
  <c r="BE12" i="8"/>
  <c r="BG12" i="8"/>
  <c r="AL10" i="11"/>
  <c r="BG10" i="8"/>
  <c r="K10" i="7" s="1"/>
  <c r="C11" i="6"/>
  <c r="I11" i="12" s="1"/>
  <c r="AO16" i="11"/>
  <c r="AL11" i="11"/>
  <c r="K9" i="7"/>
  <c r="H15" i="7"/>
  <c r="H12" i="2"/>
  <c r="C10" i="6"/>
  <c r="L11" i="14"/>
  <c r="E18" i="2"/>
  <c r="AO17" i="11"/>
  <c r="AL15" i="11"/>
  <c r="L16" i="14"/>
  <c r="M13" i="2"/>
  <c r="B12" i="6"/>
  <c r="L12" i="14"/>
  <c r="B17" i="6"/>
  <c r="C17" i="6"/>
  <c r="M18" i="2"/>
  <c r="N18" i="2"/>
  <c r="N19" i="2" s="1"/>
  <c r="BE12" i="13"/>
  <c r="F16" i="17"/>
  <c r="BG16" i="13"/>
  <c r="BD16" i="13"/>
  <c r="BE16" i="13"/>
  <c r="H15" i="2"/>
  <c r="E15" i="6"/>
  <c r="K15" i="12" s="1"/>
  <c r="B16" i="6"/>
  <c r="D12" i="12"/>
  <c r="F12" i="11"/>
  <c r="AQ12" i="11" s="1"/>
  <c r="E9" i="6"/>
  <c r="K9" i="12" s="1"/>
  <c r="AY13" i="8"/>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K12" i="7"/>
  <c r="AM15" i="11"/>
  <c r="E12" i="6"/>
  <c r="K12" i="12" s="1"/>
  <c r="C12" i="6"/>
  <c r="AL12" i="11"/>
  <c r="C18" i="2"/>
  <c r="D18" i="2" s="1"/>
  <c r="G18" i="12"/>
  <c r="E16" i="6"/>
  <c r="C15" i="6"/>
  <c r="B15" i="6"/>
  <c r="G15" i="3"/>
  <c r="I12" i="3"/>
  <c r="E12" i="3"/>
  <c r="E10" i="3"/>
  <c r="AM11" i="11"/>
  <c r="L9" i="14"/>
  <c r="AO11" i="11"/>
  <c r="AL17" i="11"/>
  <c r="F15" i="2"/>
  <c r="AL16" i="11"/>
  <c r="AO17" i="17"/>
  <c r="L15" i="14"/>
  <c r="AR13" i="21"/>
  <c r="E13" i="17"/>
  <c r="W13" i="17"/>
  <c r="I9" i="7"/>
  <c r="H9" i="7"/>
  <c r="K15" i="7"/>
  <c r="I18" i="2"/>
  <c r="G18" i="2"/>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I12" i="12"/>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B19" i="7"/>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U17" i="11"/>
  <c r="O10" i="11"/>
  <c r="BR20" i="16"/>
  <c r="AU20" i="17"/>
  <c r="BP20" i="16"/>
  <c r="AV20" i="21"/>
  <c r="H20" i="17"/>
  <c r="AX20" i="21"/>
  <c r="I17" i="12" l="1"/>
  <c r="F19" i="7"/>
  <c r="K16" i="12"/>
  <c r="Y13" i="11"/>
  <c r="G19" i="7"/>
  <c r="I10" i="12"/>
  <c r="B18" i="6"/>
  <c r="AL18" i="11"/>
  <c r="H13" i="2"/>
  <c r="BE13" i="13"/>
  <c r="BG13" i="13"/>
  <c r="F18" i="20"/>
  <c r="F21" i="20" s="1"/>
  <c r="C18" i="6"/>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W21" i="20" l="1"/>
  <c r="BU21" i="17"/>
  <c r="Q12" i="11"/>
  <c r="BH13" i="11"/>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L20" i="17"/>
  <c r="X20" i="16"/>
  <c r="AL20" i="11"/>
  <c r="AV20" i="17"/>
  <c r="Q20" i="17"/>
  <c r="BN20" i="16"/>
  <c r="N20" i="17"/>
  <c r="Q20" i="21"/>
  <c r="O20" i="11"/>
  <c r="N20" i="21"/>
  <c r="AO20" i="17"/>
  <c r="AT20" i="20"/>
  <c r="I20" i="16"/>
  <c r="AU20" i="11"/>
  <c r="AC20" i="11"/>
  <c r="BF20" i="16"/>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G20" i="11"/>
  <c r="AE20" i="21"/>
  <c r="V20" i="20"/>
  <c r="M20" i="16"/>
  <c r="AP20" i="17"/>
  <c r="I20" i="11"/>
  <c r="AT20" i="11"/>
  <c r="AM20" i="21"/>
  <c r="G20" i="12"/>
  <c r="AR20" i="17"/>
  <c r="AW20" i="17"/>
  <c r="R20" i="16"/>
  <c r="AO20" i="11"/>
  <c r="BB20" i="16"/>
  <c r="AN20" i="17"/>
  <c r="AC20" i="17"/>
  <c r="AK20" i="11"/>
  <c r="P20" i="21"/>
  <c r="BS20" i="16"/>
  <c r="H20" i="12"/>
  <c r="AU20" i="21"/>
  <c r="H20" i="16"/>
  <c r="AK20" i="17"/>
  <c r="S20" i="17"/>
  <c r="AW20" i="16"/>
  <c r="AP20" i="21"/>
  <c r="F20" i="17"/>
  <c r="AA20" i="17"/>
  <c r="AA20" i="21"/>
  <c r="O12" i="11"/>
  <c r="I20" i="12"/>
  <c r="BM20" i="16"/>
  <c r="BD19" i="8" l="1"/>
  <c r="BF19" i="11"/>
  <c r="AP20" i="11"/>
  <c r="AT20" i="21"/>
  <c r="AQ20" i="17"/>
  <c r="BL20" i="16"/>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<sst xmlns="http://schemas.openxmlformats.org/spreadsheetml/2006/main" count="2102" uniqueCount="918">
  <si>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</si>
  <si>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</si>
  <si>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</si>
  <si>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</si>
  <si>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</si>
  <si>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</si>
  <si>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</si>
  <si>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</si>
  <si>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</si>
  <si>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</si>
  <si>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</si>
  <si>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</si>
  <si>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</si>
  <si>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</si>
  <si>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</si>
  <si>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</si>
  <si>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</si>
  <si>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</si>
  <si>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</si>
  <si>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</si>
  <si>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</si>
  <si>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</si>
  <si>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</si>
  <si>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</si>
  <si>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</si>
  <si>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</si>
  <si>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</si>
  <si>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</si>
  <si>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</si>
  <si>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</si>
  <si>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</si>
  <si>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</si>
  <si>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</si>
  <si>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</si>
  <si>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</si>
  <si>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</si>
  <si>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</si>
  <si>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</si>
  <si>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</si>
  <si>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</si>
  <si>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</si>
  <si>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</si>
  <si>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</si>
  <si>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</si>
  <si>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</si>
  <si>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</si>
  <si>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</si>
  <si>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</si>
  <si>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</si>
  <si>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</si>
  <si>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</si>
  <si>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</si>
  <si>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</si>
  <si>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</si>
  <si>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</si>
  <si>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</si>
  <si>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</si>
  <si>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</si>
  <si>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</si>
  <si>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</si>
  <si>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</si>
  <si>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</si>
  <si>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</si>
  <si>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</si>
  <si>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</si>
  <si>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</si>
  <si>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</si>
  <si>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</si>
  <si>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</si>
  <si>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</si>
  <si>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</si>
  <si>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</si>
  <si>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</si>
  <si>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</si>
  <si>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</si>
  <si>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</si>
  <si>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</si>
  <si>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</si>
  <si>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</si>
  <si>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</si>
  <si>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</si>
  <si>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</si>
  <si>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</si>
  <si>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</si>
  <si>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</si>
  <si>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</si>
  <si>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</si>
  <si>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</si>
  <si>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</si>
  <si>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</si>
  <si>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</si>
  <si>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</si>
  <si>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</si>
  <si>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</si>
  <si>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</si>
  <si>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</si>
  <si>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</si>
  <si>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</si>
  <si>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</si>
  <si>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</si>
  <si>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</si>
  <si>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</si>
  <si>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</si>
  <si>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</si>
  <si>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</si>
  <si>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</si>
  <si>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</si>
  <si>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</si>
  <si>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</si>
  <si>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</si>
  <si>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</si>
  <si>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</si>
  <si>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</si>
  <si>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</si>
  <si>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</si>
  <si>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</si>
  <si>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</si>
  <si>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</si>
  <si>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</si>
  <si>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</si>
  <si>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</si>
  <si>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</si>
  <si>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</si>
  <si>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</si>
  <si>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</si>
  <si>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</si>
  <si>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</si>
  <si>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</si>
  <si>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</si>
  <si>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</si>
  <si>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</si>
  <si>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</si>
  <si>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</si>
  <si>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</si>
  <si>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</si>
  <si>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</si>
  <si>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</si>
  <si>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</si>
  <si>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</si>
  <si>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</si>
  <si>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</si>
  <si>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</si>
  <si>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</si>
  <si>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</si>
  <si>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</si>
  <si>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</si>
  <si>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</si>
  <si>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</si>
  <si>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</si>
  <si>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</si>
  <si>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</si>
  <si>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</si>
  <si>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</si>
  <si>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</si>
  <si>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</si>
  <si>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</si>
  <si>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</si>
  <si>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</si>
  <si>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</si>
  <si>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</si>
  <si>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</si>
  <si>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</si>
  <si>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</si>
  <si>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</si>
  <si>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</si>
  <si>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</si>
  <si>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</si>
  <si>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</si>
  <si>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</si>
  <si>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</si>
  <si>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</si>
  <si>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</si>
  <si>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</si>
  <si>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</si>
  <si>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</si>
  <si>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</si>
  <si>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</si>
  <si>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</si>
  <si>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</si>
  <si>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</si>
  <si>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</si>
  <si>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</si>
  <si>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</si>
  <si>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</si>
  <si>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</si>
  <si>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</si>
  <si>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</si>
  <si>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</si>
  <si>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</si>
  <si>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</si>
  <si>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</si>
  <si>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</si>
  <si>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</si>
  <si>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</si>
  <si>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</si>
  <si>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</si>
  <si>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</si>
  <si>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</si>
  <si>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</si>
  <si>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</si>
  <si>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</si>
  <si>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</si>
  <si>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</si>
  <si>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</si>
  <si>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</si>
  <si>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</si>
  <si>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</si>
  <si>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</si>
  <si>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</si>
  <si>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</si>
  <si>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</si>
  <si>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</si>
  <si>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</si>
  <si>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</si>
  <si>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</si>
  <si>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</si>
  <si>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</si>
  <si>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</si>
  <si>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</si>
  <si>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</si>
  <si>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</si>
  <si>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</si>
  <si>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</si>
  <si>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</si>
  <si>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</si>
  <si>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</si>
  <si>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</si>
  <si>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</si>
  <si>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</si>
  <si>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</si>
  <si>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</si>
  <si>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</si>
  <si>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</si>
  <si>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</si>
  <si>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</si>
  <si>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</si>
  <si>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</si>
  <si>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</si>
  <si>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</si>
  <si>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</si>
  <si>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</si>
  <si>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</si>
  <si>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</si>
  <si>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</si>
  <si>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</si>
  <si>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</si>
  <si>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</si>
  <si>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</si>
  <si>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</si>
  <si>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</si>
  <si>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</si>
  <si>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</si>
  <si>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</si>
  <si>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</si>
  <si>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</si>
  <si>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</si>
  <si>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</si>
  <si>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</si>
  <si>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</si>
  <si>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</si>
  <si>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</si>
  <si>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</si>
  <si>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</si>
  <si>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</si>
  <si>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</si>
  <si>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</si>
  <si>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</si>
  <si>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</si>
  <si>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</si>
  <si>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</si>
  <si>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</si>
  <si>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</si>
  <si>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</si>
  <si>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</si>
  <si>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</si>
  <si>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</si>
  <si>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</si>
  <si>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</si>
  <si>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</si>
  <si>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</si>
  <si>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</si>
  <si>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</si>
  <si>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</si>
  <si>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</si>
  <si>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</si>
  <si>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</si>
  <si>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</si>
  <si>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</si>
  <si>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</si>
  <si>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</si>
  <si>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</si>
  <si>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</si>
  <si>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</si>
  <si>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</si>
  <si>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</si>
  <si>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</si>
  <si>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</si>
  <si>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</si>
  <si>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</si>
  <si>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</si>
  <si>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</si>
  <si>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</si>
  <si>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</si>
  <si>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</si>
  <si>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</si>
  <si>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</si>
  <si>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</si>
  <si>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</si>
  <si>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</si>
  <si>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</si>
  <si>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</si>
  <si>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</si>
  <si>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</si>
  <si>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</si>
  <si>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</si>
  <si>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</si>
  <si>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</si>
  <si>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</si>
  <si>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</si>
  <si>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</si>
  <si>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</si>
  <si>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</si>
  <si>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</si>
  <si>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</si>
  <si>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</si>
  <si>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</si>
  <si>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</si>
  <si>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</si>
  <si>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</si>
  <si>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</si>
  <si>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</si>
  <si>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</si>
  <si>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</si>
  <si>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</si>
  <si>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</si>
  <si>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</si>
  <si>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</si>
  <si>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</si>
  <si>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</si>
  <si>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</si>
  <si>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</si>
  <si>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</si>
  <si>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</si>
  <si>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</si>
  <si>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</si>
  <si>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</si>
  <si>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</si>
  <si>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</si>
  <si>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</si>
  <si>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</si>
  <si>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</si>
  <si>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</si>
  <si>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</si>
  <si>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</si>
  <si>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</si>
  <si>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</si>
  <si>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</si>
  <si>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</si>
  <si>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</si>
  <si>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</si>
  <si>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</si>
  <si>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</si>
  <si>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</si>
  <si>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</si>
  <si>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</si>
  <si>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</si>
  <si>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</si>
  <si>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</si>
  <si>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</si>
  <si>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</si>
  <si>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</si>
  <si>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</si>
  <si>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</si>
  <si>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</si>
  <si>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</si>
  <si>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</si>
  <si>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</si>
  <si>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</si>
  <si>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</si>
  <si>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</si>
  <si>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</si>
  <si>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</si>
  <si>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</si>
  <si>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</si>
  <si>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</si>
  <si>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</si>
  <si>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</si>
  <si>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</si>
  <si>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</si>
  <si>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</si>
  <si>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</si>
  <si>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</si>
  <si>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</si>
  <si>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</si>
  <si>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</si>
  <si>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</si>
  <si>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</si>
  <si>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</si>
  <si>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</si>
  <si>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</si>
  <si>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</si>
  <si>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</si>
  <si>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</si>
  <si>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</si>
  <si>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</si>
  <si>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</si>
  <si>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</si>
  <si>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</si>
  <si>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</si>
  <si>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</si>
  <si>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</si>
  <si>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</si>
  <si>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</si>
  <si>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</si>
  <si>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</si>
  <si>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</si>
  <si>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</si>
  <si>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</si>
  <si>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</si>
  <si>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</si>
  <si>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</si>
  <si>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</si>
  <si>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</si>
  <si>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</si>
  <si>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</si>
  <si>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</si>
  <si>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</si>
  <si>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</si>
  <si>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</si>
  <si>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</si>
  <si>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</si>
  <si>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</si>
  <si>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</si>
  <si>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</si>
  <si>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</si>
  <si>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</si>
  <si>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</si>
  <si>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</si>
  <si>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</si>
  <si>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</si>
  <si>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</si>
  <si>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</si>
  <si>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</si>
  <si>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</si>
  <si>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</si>
  <si>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</si>
  <si>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</si>
  <si>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</si>
  <si>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</si>
  <si>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</si>
  <si>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</si>
  <si>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</si>
  <si>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</si>
  <si>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</si>
  <si>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</si>
  <si>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</si>
  <si>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</si>
  <si>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</si>
  <si>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</si>
  <si>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</si>
  <si>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</si>
  <si>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</si>
  <si>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</si>
  <si>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</si>
  <si>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</si>
  <si>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</si>
  <si>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</si>
  <si>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</si>
  <si>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</si>
  <si>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</si>
  <si>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</si>
  <si>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</si>
  <si>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</si>
  <si>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</si>
  <si>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</si>
  <si>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</si>
  <si>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</si>
  <si>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</si>
  <si>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</si>
  <si>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</si>
  <si>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</si>
  <si>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</si>
  <si>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</si>
  <si>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</si>
  <si>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</si>
  <si>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</si>
  <si>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</si>
  <si>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</si>
  <si>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</si>
  <si>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</si>
  <si>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</si>
  <si>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</si>
  <si>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</si>
  <si>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</si>
  <si>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</si>
  <si>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</si>
  <si>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</si>
  <si>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</si>
  <si>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</si>
  <si>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</si>
  <si>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</si>
  <si>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</si>
  <si>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</si>
  <si>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</si>
  <si>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</si>
  <si>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</si>
  <si>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</si>
  <si>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</si>
  <si>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</si>
  <si>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</si>
  <si>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</si>
  <si>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</si>
  <si>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</si>
  <si>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</si>
  <si>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</si>
  <si>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</si>
  <si>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</si>
  <si>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</si>
  <si>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</si>
  <si>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</si>
  <si>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</si>
  <si>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</si>
  <si>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</si>
  <si>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</si>
  <si>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</si>
  <si>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</si>
  <si>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</si>
  <si>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</si>
  <si>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</si>
  <si>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</si>
  <si>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</si>
  <si>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</si>
  <si>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</si>
  <si>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</si>
  <si>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</si>
  <si>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</si>
  <si>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</si>
  <si>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</si>
  <si>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</si>
  <si>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</si>
  <si>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</si>
  <si>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</si>
  <si>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</si>
  <si>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</si>
  <si>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</si>
  <si>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</si>
  <si>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</si>
  <si>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</si>
  <si>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</si>
  <si>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</si>
  <si>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</si>
  <si>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</si>
  <si>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</si>
  <si>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</si>
  <si>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</si>
  <si>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</si>
  <si>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</si>
  <si>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</si>
  <si>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</si>
  <si>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</si>
  <si>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</si>
  <si>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</si>
  <si>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</si>
  <si>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</si>
  <si>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</si>
  <si>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</si>
  <si>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</si>
  <si>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</si>
  <si>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</si>
  <si>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</si>
  <si>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</si>
  <si>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</si>
  <si>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</si>
  <si>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</si>
  <si>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</si>
  <si>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</si>
  <si>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</si>
  <si>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</si>
  <si>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</si>
  <si>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</si>
  <si>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</si>
  <si>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</si>
  <si>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</si>
  <si>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</si>
  <si>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</si>
  <si>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</si>
  <si>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</si>
  <si>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</si>
  <si>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</si>
  <si>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</si>
  <si>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</si>
  <si>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</si>
  <si>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</si>
  <si>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</si>
  <si>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</si>
  <si>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</si>
  <si>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</si>
  <si>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</si>
  <si>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</si>
  <si>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</si>
  <si>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</si>
  <si>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</si>
  <si>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</si>
  <si>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</si>
  <si>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</si>
  <si>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</si>
  <si>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</si>
  <si>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</si>
  <si>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</si>
  <si>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</si>
  <si>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</si>
  <si>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</si>
  <si>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</si>
  <si>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</si>
  <si>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</si>
  <si>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</si>
  <si>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</si>
  <si>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</si>
  <si>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</si>
  <si>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</si>
  <si>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</si>
  <si>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</si>
  <si>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</si>
  <si>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</si>
  <si>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</si>
  <si>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</si>
  <si>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</si>
  <si>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</si>
  <si>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</si>
  <si>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</si>
  <si>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</si>
  <si>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</si>
  <si>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</si>
  <si>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</si>
  <si>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</si>
  <si>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</si>
  <si>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</si>
  <si>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</si>
  <si>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</si>
  <si>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</si>
  <si>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</si>
  <si>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</si>
  <si>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</si>
  <si>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</si>
  <si>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</si>
  <si>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</si>
  <si>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</si>
  <si>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</si>
  <si>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</si>
  <si>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</si>
  <si>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</si>
  <si>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</si>
  <si>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</si>
  <si>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</si>
  <si>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</si>
  <si>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</si>
  <si>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</si>
  <si>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</si>
  <si>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</si>
  <si>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</si>
  <si>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</si>
  <si>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</si>
  <si>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</si>
  <si>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</si>
  <si>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</si>
  <si>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</si>
  <si>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</si>
  <si>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</si>
  <si>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</si>
  <si>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</si>
  <si>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</si>
  <si>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</si>
  <si>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</si>
  <si>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</si>
  <si>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</si>
  <si>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</si>
  <si>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</si>
  <si>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</si>
  <si>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</si>
  <si>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</si>
  <si>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</si>
  <si>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</si>
  <si>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</si>
  <si>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</si>
  <si>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</si>
  <si>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</si>
  <si>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</si>
  <si>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</si>
  <si>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</si>
  <si>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</si>
  <si>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</si>
  <si>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</si>
  <si>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</si>
  <si>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</si>
  <si>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</si>
  <si>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</si>
  <si>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</si>
  <si>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</si>
  <si>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</si>
  <si>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</si>
  <si>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</si>
  <si>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</si>
  <si>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</si>
  <si>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</si>
  <si>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</si>
  <si>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</si>
  <si>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</si>
  <si>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</si>
  <si>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</si>
  <si>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</si>
  <si>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</si>
  <si>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</si>
  <si>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</si>
  <si>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</si>
  <si>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</si>
  <si>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</si>
  <si>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</si>
  <si>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</si>
  <si>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</si>
  <si>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</si>
  <si>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</si>
  <si>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</si>
  <si>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</si>
  <si>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</si>
  <si>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</si>
  <si>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</si>
  <si>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</si>
  <si>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</si>
  <si>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</si>
  <si>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</si>
  <si>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</si>
  <si>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</si>
  <si>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</si>
  <si>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</si>
  <si>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</si>
  <si>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</si>
  <si>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</si>
  <si>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</si>
  <si>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</si>
  <si>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</si>
  <si>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</si>
  <si>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</si>
  <si>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</si>
  <si>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</si>
  <si>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</si>
  <si>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</si>
  <si>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</si>
  <si>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</si>
  <si>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</si>
  <si>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</si>
  <si>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</si>
  <si>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</si>
  <si>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</si>
  <si>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</si>
  <si>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</si>
  <si>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</si>
  <si>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</si>
  <si>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</si>
  <si>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</si>
  <si>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</si>
  <si>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</si>
  <si>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</si>
  <si>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</si>
  <si>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</si>
  <si>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</si>
  <si>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</si>
  <si>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</si>
  <si>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</si>
  <si>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</si>
  <si>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</si>
  <si>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</si>
  <si>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</si>
  <si>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</si>
  <si>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</si>
  <si>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</si>
  <si>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</si>
  <si>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</si>
  <si>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</si>
  <si>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</si>
  <si>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</si>
  <si>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</si>
  <si>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</si>
  <si>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</si>
  <si>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</si>
  <si>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</si>
  <si>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</si>
  <si>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</si>
  <si>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</si>
  <si>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</si>
  <si>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</si>
  <si>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</si>
  <si>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</si>
  <si>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</si>
  <si>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</si>
  <si>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</si>
  <si>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</si>
  <si>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</si>
  <si>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</si>
  <si>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</si>
  <si>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</si>
  <si>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</si>
  <si>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</si>
  <si>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</si>
  <si>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</si>
  <si>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</si>
  <si>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</si>
  <si>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</si>
  <si>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</si>
  <si>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</si>
  <si>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</si>
  <si>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</si>
  <si>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</si>
  <si>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</si>
  <si>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</si>
  <si>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</si>
  <si>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</si>
  <si>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</si>
  <si>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</si>
  <si>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</si>
  <si>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</si>
  <si>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</si>
  <si>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</si>
  <si>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</si>
  <si>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</si>
  <si>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</si>
  <si>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</si>
  <si>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</si>
  <si>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</si>
  <si>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</si>
  <si>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</si>
  <si>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</si>
  <si>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</si>
  <si>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</si>
  <si>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</si>
  <si>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</si>
  <si>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</si>
  <si>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</si>
  <si>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</si>
  <si>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</si>
  <si>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</si>
  <si>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</si>
  <si>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</si>
  <si>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</si>
  <si>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</si>
  <si>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</si>
  <si>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</si>
  <si>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</si>
  <si>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</si>
  <si>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</si>
  <si>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</si>
  <si>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</si>
  <si>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</si>
  <si>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</si>
  <si>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</si>
  <si>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</si>
  <si>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</si>
  <si>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</si>
  <si>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</si>
  <si>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</si>
  <si>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</si>
  <si>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</si>
  <si>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</si>
  <si>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</si>
  <si>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</si>
  <si>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</si>
  <si>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</si>
  <si>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</si>
  <si>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</si>
  <si>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</si>
  <si>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</si>
  <si>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</si>
  <si>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</si>
  <si>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</si>
  <si>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</si>
  <si>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</si>
  <si>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</si>
  <si>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</si>
  <si>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</si>
  <si>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</si>
  <si>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</si>
  <si>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</si>
  <si>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</si>
  <si>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</si>
  <si>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</si>
  <si>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</si>
  <si>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</si>
  <si>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</si>
  <si>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</si>
  <si>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</si>
  <si>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</si>
  <si>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</si>
  <si>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</si>
  <si>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</si>
  <si>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</si>
  <si>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</si>
  <si>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</si>
  <si>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</si>
  <si>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</si>
  <si>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</si>
  <si>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</si>
  <si>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</si>
  <si>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</si>
  <si>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</si>
  <si>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</si>
  <si>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</si>
  <si>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</si>
  <si>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</si>
  <si>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</si>
  <si>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</si>
  <si>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</si>
  <si>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</si>
  <si>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</si>
  <si>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</si>
  <si>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CATALUÑA</t>
  </si>
  <si>
    <t>Provincias</t>
  </si>
  <si>
    <t>TARRAGONA</t>
  </si>
  <si>
    <t>Resumenes por Partidos Judiciales</t>
  </si>
  <si>
    <t>VENDRELL, 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</si>
</sst>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wpzov3+HYrZeJcEKVgE5Lu/DR1kpFXeuk3x0QbufSCM8q9b0rjKzYv+4QWcFash2wRJQKgW+MsqUWoRVSJs7/g==" saltValue="sYCsZY9WlvIMIwH6r1Lmf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88</v>
      </c>
      <c r="D10" s="224">
        <f>IF(ISNUMBER(Datos!I10),Datos!I10," - ")</f>
        <v>88</v>
      </c>
      <c r="E10" s="225">
        <f>IF(ISNUMBER(Datos!J10),Datos!J10," - ")</f>
        <v>23</v>
      </c>
      <c r="F10" s="225">
        <f>IF(ISNUMBER(Datos!K10),Datos!K10," - ")</f>
        <v>23</v>
      </c>
      <c r="G10" s="1033" t="str">
        <f>IF(Datos!E10&lt;&gt;"",Datos!E10,Datos!D10)</f>
        <v>37</v>
      </c>
      <c r="H10" s="226">
        <f>IF(ISNUMBER(Datos!L10),Datos!L10," - ")</f>
        <v>88</v>
      </c>
      <c r="I10" s="1043" t="str">
        <f>IF(ISNUMBER(Datos!AS10/Datos!BM10),Datos!AS10/Datos!BM10," - ")</f>
        <v xml:space="preserve"> - </v>
      </c>
      <c r="J10" s="1044">
        <f>IF(ISNUMBER(Datos!BY10/Datos!CN10),Datos!BY10/Datos!CN10," - ")</f>
        <v>0</v>
      </c>
      <c r="K10" s="229">
        <f t="shared" ref="K10:K12" si="1">IF(ISNUMBER((E10-F10)/C10),(E10-F10)/C10," - ")</f>
        <v>0</v>
      </c>
      <c r="L10" s="1024">
        <f>IF(ISNUMBER(NºAsuntos!I10/NºAsuntos!G10),(NºAsuntos!I10/NºAsuntos!G10)*11," - ")</f>
        <v>42.086956521739133</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9</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49.030360531309299</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88</v>
      </c>
      <c r="D13" s="1048">
        <f>SUBTOTAL(9,D9:D12)</f>
        <v>88</v>
      </c>
      <c r="E13" s="1049">
        <f>SUBTOTAL(9,E9:E12)</f>
        <v>23</v>
      </c>
      <c r="F13" s="1050">
        <f>SUBTOTAL(9,F9:F12)</f>
        <v>23</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9</v>
      </c>
      <c r="B16" s="501" t="str">
        <f>Datos!A16</f>
        <v xml:space="preserve">Jdos. 1ª Instª. e Instr./Secc. Civil y de Inst. TI                      </v>
      </c>
      <c r="C16" s="224">
        <f t="shared" si="2"/>
        <v>6027</v>
      </c>
      <c r="D16" s="224">
        <f>IF(ISNUMBER(IF(D_I="SI",Datos!I16,Datos!I16+Datos!AC16)),IF(D_I="SI",Datos!I16,Datos!I16+Datos!AC16)," - ")</f>
        <v>6003</v>
      </c>
      <c r="E16" s="225">
        <f>IF(ISNUMBER(IF(D_I="SI",Datos!J16,Datos!J16+Datos!AD16)),IF(D_I="SI",Datos!J16,Datos!J16+Datos!AD16)," - ")</f>
        <v>2262</v>
      </c>
      <c r="F16" s="225">
        <f>IF(ISNUMBER(IF(D_I="SI",Datos!K16,Datos!K16+Datos!AE16)),IF(D_I="SI",Datos!K16,Datos!K16+Datos!AE16)," - ")</f>
        <v>1761</v>
      </c>
      <c r="G16" s="1033" t="str">
        <f>IF(Datos!E16&lt;&gt;"",Datos!E16,Datos!D16)</f>
        <v>04</v>
      </c>
      <c r="H16" s="226">
        <f>IF(ISNUMBER(IF(D_I="SI",Datos!L16,Datos!L16+Datos!AF16)),IF(D_I="SI",Datos!L16,Datos!L16+Datos!AF16)," - ")</f>
        <v>6528</v>
      </c>
      <c r="I16" s="1043" t="str">
        <f>IF(ISNUMBER(Datos!AS16/Datos!BM16),Datos!AS16/Datos!BM16," - ")</f>
        <v xml:space="preserve"> - </v>
      </c>
      <c r="J16" s="1044">
        <f>IF(ISNUMBER(Datos!BY16/Datos!CN16),Datos!BY16/Datos!CN16," - ")</f>
        <v>0</v>
      </c>
      <c r="K16" s="229">
        <f t="shared" si="3"/>
        <v>8.3125933300149321E-2</v>
      </c>
      <c r="L16" s="1024">
        <f>IF(ISNUMBER(NºAsuntos!I16/NºAsuntos!G16),(NºAsuntos!I16/NºAsuntos!G16)*11," - ")</f>
        <v>40.776831345826238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63</v>
      </c>
      <c r="D17" s="224">
        <f>IF(ISNUMBER(IF(D_I="SI",Datos!I17,Datos!I17+Datos!AC17)),IF(D_I="SI",Datos!I17,Datos!I17+Datos!AC17)," - ")</f>
        <v>61</v>
      </c>
      <c r="E17" s="225">
        <f>IF(ISNUMBER(IF(D_I="SI",Datos!J17,Datos!J17+Datos!AD17)),IF(D_I="SI",Datos!J17,Datos!J17+Datos!AD17)," - ")</f>
        <v>217</v>
      </c>
      <c r="F17" s="225">
        <f>IF(ISNUMBER(IF(D_I="SI",Datos!K17,Datos!K17+Datos!AE17)),IF(D_I="SI",Datos!K17,Datos!K17+Datos!AE17)," - ")</f>
        <v>201</v>
      </c>
      <c r="G17" s="1033" t="str">
        <f>IF(Datos!E17&lt;&gt;"",Datos!E17,Datos!D17)</f>
        <v>37</v>
      </c>
      <c r="H17" s="226">
        <f>IF(ISNUMBER(IF(D_I="SI",Datos!L17,Datos!L17+Datos!AF17)),IF(D_I="SI",Datos!L17,Datos!L17+Datos!AF17)," - ")</f>
        <v>79</v>
      </c>
      <c r="I17" s="1043" t="str">
        <f>IF(ISNUMBER(Datos!AS17/Datos!BM17),Datos!AS17/Datos!BM17," - ")</f>
        <v xml:space="preserve"> - </v>
      </c>
      <c r="J17" s="1044" t="str">
        <f>IF(ISNUMBER((Datos!BY17+Datos!BZ17)/Datos!CN17),(Datos!BY17+Datos!BZ17)/Datos!CN17," - ")</f>
        <v xml:space="preserve"> - </v>
      </c>
      <c r="K17" s="229">
        <f t="shared" si="3"/>
        <v>0.25396825396825395</v>
      </c>
      <c r="L17" s="1024">
        <f>IF(ISNUMBER(NºAsuntos!I17/NºAsuntos!G17),(NºAsuntos!I17/NºAsuntos!G17)*11," - ")</f>
        <v>4.323383084577114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6090</v>
      </c>
      <c r="D18" s="1048">
        <f>SUBTOTAL(9,D15:D17)</f>
        <v>6064</v>
      </c>
      <c r="E18" s="1049">
        <f>SUBTOTAL(9,E15:E17)</f>
        <v>2479</v>
      </c>
      <c r="F18" s="1049">
        <f>SUBTOTAL(9,F15:F17)</f>
        <v>1962</v>
      </c>
      <c r="G18" s="1051" t="str">
        <f ca="1">INDIRECT(CONCATENATE("G",ROW()-1))</f>
        <v>37</v>
      </c>
      <c r="H18" s="1052">
        <f ca="1">SUMIF(G$14:G17,G18,H$14:H17)</f>
        <v>79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6178</v>
      </c>
      <c r="D19" s="1070">
        <f>SUBTOTAL(9,D9:D18)</f>
        <v>6152</v>
      </c>
      <c r="E19" s="1071">
        <f>SUBTOTAL(9,E9:E18)</f>
        <v>2502</v>
      </c>
      <c r="F19" s="1071">
        <f>SUBTOTAL(9,F9:F18)</f>
        <v>1985</v>
      </c>
      <c r="G19" s="1072"/>
      <c r="H19" s="1073">
        <f ca="1">SUMIF(B9:B18,"TOTAL",H9:H18)</f>
        <v>79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KyZqjL1k/Ysv9eTwjHTaiGyWd/enLeacKzuts8PZsBMDyzwryZ+bkS/Gfo/yDABsj36g2uXD8Cp0RRX+4sq5vQ==" saltValue="Yl27rpdLPX5b/TMZNyiEg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4TDit+y1HsmiUvamW3ivU21cDw0OwHqVusy14XN8Kf7eWULezQBwiVi8u/E9Ya8sUeH2ef8Qm0J+N9PdV3mhlA==" saltValue="z/PRxQXP6pqfBJs/07PZZ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TARRAGONA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88</v>
      </c>
      <c r="J10" s="180">
        <v>23</v>
      </c>
      <c r="K10" s="180">
        <v>23</v>
      </c>
      <c r="L10" s="180">
        <v>88</v>
      </c>
      <c r="M10" s="180">
        <v>8</v>
      </c>
      <c r="N10" s="180">
        <v>10</v>
      </c>
      <c r="O10" s="180">
        <v>4</v>
      </c>
      <c r="P10" s="180">
        <v>4</v>
      </c>
      <c r="Q10" s="180">
        <v>0</v>
      </c>
      <c r="R10" s="180">
        <v>122</v>
      </c>
      <c r="S10" s="180">
        <v>92</v>
      </c>
      <c r="T10" s="180">
        <v>40</v>
      </c>
      <c r="U10" s="180">
        <v>35</v>
      </c>
      <c r="V10" s="180">
        <v>97</v>
      </c>
      <c r="W10" s="180">
        <v>7</v>
      </c>
      <c r="X10" s="187">
        <v>19</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92</v>
      </c>
      <c r="AZ10" s="129">
        <f t="shared" si="0"/>
        <v>40</v>
      </c>
      <c r="BA10" s="129">
        <f t="shared" si="0"/>
        <v>35</v>
      </c>
      <c r="BB10" s="129">
        <f t="shared" si="0"/>
        <v>97</v>
      </c>
      <c r="BC10" s="125">
        <f t="shared" si="0"/>
        <v>7</v>
      </c>
      <c r="BD10" s="126">
        <f>IF(ISNUMBER(BA10/AZ10),BA10/AZ10," - ")</f>
        <v>0.875</v>
      </c>
      <c r="BE10" s="127">
        <f>IF(ISNUMBER(BB10/BA10),BB10/BA10, " - ")</f>
        <v>2.7714285714285714</v>
      </c>
      <c r="BF10" s="127">
        <f>IF(ISNUMBER(BC10/BA10),BC10/BA10, " - ")</f>
        <v>0.2</v>
      </c>
      <c r="BG10" s="195">
        <f>IF(ISNUMBER((AY10+AZ10)/BA10),(AY10+AZ10)/BA10," - ")</f>
        <v>3.7714285714285714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10150</v>
      </c>
      <c r="J12" s="182">
        <v>1086</v>
      </c>
      <c r="K12" s="182">
        <v>2046</v>
      </c>
      <c r="L12" s="182">
        <v>9190</v>
      </c>
      <c r="M12" s="182">
        <v>447</v>
      </c>
      <c r="N12" s="182">
        <v>921</v>
      </c>
      <c r="O12" s="180">
        <v>939</v>
      </c>
      <c r="P12" s="182">
        <v>838</v>
      </c>
      <c r="Q12" s="182">
        <v>386</v>
      </c>
      <c r="R12" s="182">
        <v>16081</v>
      </c>
      <c r="S12" s="182">
        <v>7800</v>
      </c>
      <c r="T12" s="182">
        <v>2589</v>
      </c>
      <c r="U12" s="182">
        <v>1882</v>
      </c>
      <c r="V12" s="182">
        <v>8507</v>
      </c>
      <c r="W12" s="182">
        <v>459</v>
      </c>
      <c r="X12" s="188">
        <v>794</v>
      </c>
      <c r="Y12" s="190">
        <v>160</v>
      </c>
      <c r="Z12" s="180">
        <v>108</v>
      </c>
      <c r="AA12" s="180">
        <v>62</v>
      </c>
      <c r="AB12" s="180">
        <v>206</v>
      </c>
      <c r="AC12" s="182">
        <v>0</v>
      </c>
      <c r="AD12" s="182">
        <v>0</v>
      </c>
      <c r="AE12" s="182">
        <v>0</v>
      </c>
      <c r="AF12" s="188">
        <v>0</v>
      </c>
      <c r="AG12" s="201">
        <v>170</v>
      </c>
      <c r="AH12" s="182">
        <v>86</v>
      </c>
      <c r="AI12" s="182">
        <v>91</v>
      </c>
      <c r="AJ12" s="202">
        <v>165</v>
      </c>
      <c r="AK12" s="181">
        <v>0</v>
      </c>
      <c r="AL12" s="182">
        <v>0</v>
      </c>
      <c r="AM12" s="182">
        <v>0</v>
      </c>
      <c r="AN12" s="188">
        <v>0</v>
      </c>
      <c r="AO12" s="258">
        <v>9</v>
      </c>
      <c r="AP12" s="154">
        <v>9</v>
      </c>
      <c r="AQ12" s="154">
        <v>9</v>
      </c>
      <c r="AR12" s="153">
        <v>9</v>
      </c>
      <c r="AS12" s="339" t="s">
        <v>794</v>
      </c>
      <c r="AT12" s="202"/>
      <c r="AU12" s="201"/>
      <c r="AV12" s="202"/>
      <c r="AW12" s="201"/>
      <c r="AX12" s="202"/>
      <c r="AY12" s="126">
        <f t="shared" si="1"/>
        <v>7970</v>
      </c>
      <c r="AZ12" s="127">
        <f t="shared" si="1"/>
        <v>2675</v>
      </c>
      <c r="BA12" s="127">
        <f t="shared" si="1"/>
        <v>1973</v>
      </c>
      <c r="BB12" s="127">
        <f t="shared" si="1"/>
        <v>8672</v>
      </c>
      <c r="BC12" s="125">
        <f>IF(ISNUMBER(X12),X12," - ")</f>
        <v>794</v>
      </c>
      <c r="BD12" s="126">
        <f t="shared" si="2"/>
        <v>0.73757009345794389</v>
      </c>
      <c r="BE12" s="127">
        <f t="shared" si="3"/>
        <v>4.3953370501773952</v>
      </c>
      <c r="BF12" s="127">
        <f t="shared" si="4"/>
        <v>0.40243284338570706</v>
      </c>
      <c r="BG12" s="195">
        <f t="shared" si="5"/>
        <v>5.3953370501773952</v>
      </c>
      <c r="BH12" s="154">
        <v>9</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10238</v>
      </c>
      <c r="J13" s="183">
        <f t="shared" si="6"/>
        <v>1109</v>
      </c>
      <c r="K13" s="183">
        <f t="shared" si="6"/>
        <v>2069</v>
      </c>
      <c r="L13" s="183">
        <f t="shared" si="6"/>
        <v>9278</v>
      </c>
      <c r="M13" s="183">
        <f t="shared" si="6"/>
        <v>455</v>
      </c>
      <c r="N13" s="183">
        <f t="shared" si="6"/>
        <v>931</v>
      </c>
      <c r="O13" s="183">
        <f t="shared" si="6"/>
        <v>943</v>
      </c>
      <c r="P13" s="183">
        <f t="shared" si="6"/>
        <v>842</v>
      </c>
      <c r="Q13" s="183">
        <f t="shared" si="6"/>
        <v>386</v>
      </c>
      <c r="R13" s="183">
        <f t="shared" si="6"/>
        <v>16203</v>
      </c>
      <c r="S13" s="183">
        <f t="shared" si="6"/>
        <v>7892</v>
      </c>
      <c r="T13" s="183">
        <f t="shared" si="6"/>
        <v>2629</v>
      </c>
      <c r="U13" s="183">
        <f t="shared" si="6"/>
        <v>1917</v>
      </c>
      <c r="V13" s="183">
        <f t="shared" si="6"/>
        <v>8604</v>
      </c>
      <c r="W13" s="183">
        <f t="shared" si="6"/>
        <v>466</v>
      </c>
      <c r="X13" s="183">
        <f t="shared" si="6"/>
        <v>813</v>
      </c>
      <c r="Y13" s="183">
        <f t="shared" si="6"/>
        <v>160</v>
      </c>
      <c r="Z13" s="183">
        <f t="shared" si="6"/>
        <v>108</v>
      </c>
      <c r="AA13" s="183">
        <f t="shared" si="6"/>
        <v>62</v>
      </c>
      <c r="AB13" s="183">
        <f t="shared" si="6"/>
        <v>206</v>
      </c>
      <c r="AC13" s="183">
        <f t="shared" si="6"/>
        <v>0</v>
      </c>
      <c r="AD13" s="183">
        <f t="shared" si="6"/>
        <v>0</v>
      </c>
      <c r="AE13" s="183">
        <f t="shared" si="6"/>
        <v>0</v>
      </c>
      <c r="AF13" s="183">
        <f>SUBTOTAL(9,AF9:AF12)</f>
        <v>0</v>
      </c>
      <c r="AG13" s="183">
        <f t="shared" ref="AG13:AT13" si="7">SUBTOTAL(9,AG8:AG12)</f>
        <v>170</v>
      </c>
      <c r="AH13" s="183">
        <f t="shared" si="7"/>
        <v>86</v>
      </c>
      <c r="AI13" s="183">
        <f t="shared" si="7"/>
        <v>91</v>
      </c>
      <c r="AJ13" s="183">
        <f t="shared" si="7"/>
        <v>165</v>
      </c>
      <c r="AK13" s="183">
        <f t="shared" si="7"/>
        <v>0</v>
      </c>
      <c r="AL13" s="183">
        <f t="shared" si="7"/>
        <v>0</v>
      </c>
      <c r="AM13" s="183">
        <f t="shared" si="7"/>
        <v>0</v>
      </c>
      <c r="AN13" s="183">
        <f t="shared" si="7"/>
        <v>0</v>
      </c>
      <c r="AO13" s="183">
        <f t="shared" si="7"/>
        <v>10</v>
      </c>
      <c r="AP13" s="183">
        <f t="shared" si="7"/>
        <v>10</v>
      </c>
      <c r="AQ13" s="183">
        <f t="shared" si="7"/>
        <v>10</v>
      </c>
      <c r="AR13" s="183">
        <f t="shared" si="7"/>
        <v>10</v>
      </c>
      <c r="AS13" s="183">
        <f t="shared" si="7"/>
        <v>0</v>
      </c>
      <c r="AT13" s="183">
        <f t="shared" si="7"/>
        <v>0</v>
      </c>
      <c r="AU13" s="203"/>
      <c r="AV13" s="132"/>
      <c r="AW13" s="203"/>
      <c r="AX13" s="132"/>
      <c r="AY13" s="183">
        <f>SUBTOTAL(9,AY8:AY12)</f>
        <v>8062</v>
      </c>
      <c r="AZ13" s="183">
        <f>SUBTOTAL(9,AZ8:AZ12)</f>
        <v>2715</v>
      </c>
      <c r="BA13" s="183">
        <f>SUBTOTAL(9,BA8:BA12)</f>
        <v>2008</v>
      </c>
      <c r="BB13" s="183">
        <f>SUBTOTAL(9,BB8:BB12)</f>
        <v>8769</v>
      </c>
      <c r="BC13" s="183">
        <f>SUBTOTAL(9,BC8:BC12)</f>
        <v>801</v>
      </c>
      <c r="BD13" s="204">
        <f>IF(ISNUMBER(BA13/AZ13),BA13/AZ13," - ")</f>
        <v>0.7395948434622468</v>
      </c>
      <c r="BE13" s="205">
        <f>IF(ISNUMBER(BB13/BA13),BB13/BA13, " - ")</f>
        <v>4.3670318725099602</v>
      </c>
      <c r="BF13" s="205">
        <f>IF(ISNUMBER(BC13/BA13),BC13/BA13, " - ")</f>
        <v>0.3989043824701195</v>
      </c>
      <c r="BG13" s="206">
        <f>IF(ISNUMBER((AY13+AZ13)/BA13),(AY13+AZ13)/BA13," - ")</f>
        <v>5.3670318725099602</v>
      </c>
      <c r="BH13" s="139">
        <f>SUBTOTAL(9,BH8:BH12)</f>
        <v>10</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6003</v>
      </c>
      <c r="J16" s="182">
        <v>2262</v>
      </c>
      <c r="K16" s="182">
        <v>1761</v>
      </c>
      <c r="L16" s="182">
        <v>6528</v>
      </c>
      <c r="M16" s="182">
        <v>228</v>
      </c>
      <c r="N16" s="182">
        <v>1093</v>
      </c>
      <c r="O16" s="180">
        <v>10</v>
      </c>
      <c r="P16" s="182">
        <v>20</v>
      </c>
      <c r="Q16" s="182">
        <v>23</v>
      </c>
      <c r="R16" s="182">
        <v>364</v>
      </c>
      <c r="S16" s="182">
        <v>4912</v>
      </c>
      <c r="T16" s="182">
        <v>2570</v>
      </c>
      <c r="U16" s="182">
        <v>2213</v>
      </c>
      <c r="V16" s="182">
        <v>5288</v>
      </c>
      <c r="W16" s="182">
        <v>240</v>
      </c>
      <c r="X16" s="188">
        <v>1488</v>
      </c>
      <c r="Y16" s="201">
        <v>0</v>
      </c>
      <c r="Z16" s="182">
        <v>0</v>
      </c>
      <c r="AA16" s="182">
        <v>0</v>
      </c>
      <c r="AB16" s="182">
        <v>0</v>
      </c>
      <c r="AC16" s="182">
        <v>11</v>
      </c>
      <c r="AD16" s="182">
        <v>42</v>
      </c>
      <c r="AE16" s="182">
        <v>53</v>
      </c>
      <c r="AF16" s="188">
        <v>0</v>
      </c>
      <c r="AG16" s="201">
        <v>0</v>
      </c>
      <c r="AH16" s="182">
        <v>0</v>
      </c>
      <c r="AI16" s="182">
        <v>0</v>
      </c>
      <c r="AJ16" s="202">
        <v>0</v>
      </c>
      <c r="AK16" s="181">
        <v>0</v>
      </c>
      <c r="AL16" s="182">
        <v>70</v>
      </c>
      <c r="AM16" s="182">
        <v>70</v>
      </c>
      <c r="AN16" s="188">
        <v>0</v>
      </c>
      <c r="AO16" s="258">
        <v>9</v>
      </c>
      <c r="AP16" s="154">
        <v>9</v>
      </c>
      <c r="AQ16" s="154">
        <v>9</v>
      </c>
      <c r="AR16" s="154">
        <v>9</v>
      </c>
      <c r="AS16" s="339" t="s">
        <v>487</v>
      </c>
      <c r="AT16" s="202"/>
      <c r="AU16" s="201"/>
      <c r="AV16" s="202"/>
      <c r="AW16" s="201"/>
      <c r="AX16" s="202"/>
      <c r="AY16" s="126">
        <f t="shared" si="9"/>
        <v>4912</v>
      </c>
      <c r="AZ16" s="127">
        <f t="shared" si="9"/>
        <v>2570</v>
      </c>
      <c r="BA16" s="127">
        <f t="shared" si="9"/>
        <v>2213</v>
      </c>
      <c r="BB16" s="127">
        <f t="shared" si="9"/>
        <v>5288</v>
      </c>
      <c r="BC16" s="125">
        <f>IF(ISNUMBER(W16),W16," - ")</f>
        <v>240</v>
      </c>
      <c r="BD16" s="126">
        <f t="shared" ref="BD16" si="11">IF(ISNUMBER(BA16/AZ16),BA16/AZ16," - ")</f>
        <v>0.86108949416342417</v>
      </c>
      <c r="BE16" s="127">
        <f t="shared" ref="BE16" si="12">IF(ISNUMBER(BB16/BA16),BB16/BA16, " - ")</f>
        <v>2.3895164934478084</v>
      </c>
      <c r="BF16" s="127">
        <f t="shared" ref="BF16" si="13">IF(ISNUMBER(BC16/BA16),BC16/BA16, " - ")</f>
        <v>0.10845006778129236</v>
      </c>
      <c r="BG16" s="195">
        <f t="shared" si="10"/>
        <v>3.3809308630817894</v>
      </c>
      <c r="BH16" s="154">
        <v>9</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61</v>
      </c>
      <c r="J17" s="182">
        <v>217</v>
      </c>
      <c r="K17" s="182">
        <v>201</v>
      </c>
      <c r="L17" s="182">
        <v>79</v>
      </c>
      <c r="M17" s="182">
        <v>18</v>
      </c>
      <c r="N17" s="182">
        <v>115</v>
      </c>
      <c r="O17" s="182">
        <v>2</v>
      </c>
      <c r="P17" s="182">
        <v>0</v>
      </c>
      <c r="Q17" s="182">
        <v>2</v>
      </c>
      <c r="R17" s="182">
        <v>0</v>
      </c>
      <c r="S17" s="182">
        <v>93</v>
      </c>
      <c r="T17" s="182">
        <v>204</v>
      </c>
      <c r="U17" s="182">
        <v>194</v>
      </c>
      <c r="V17" s="182">
        <v>106</v>
      </c>
      <c r="W17" s="182">
        <v>17</v>
      </c>
      <c r="X17" s="188">
        <v>132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93</v>
      </c>
      <c r="AZ17" s="129">
        <f t="shared" si="14"/>
        <v>204</v>
      </c>
      <c r="BA17" s="129">
        <f t="shared" si="14"/>
        <v>194</v>
      </c>
      <c r="BB17" s="129">
        <f t="shared" si="14"/>
        <v>106</v>
      </c>
      <c r="BC17" s="125">
        <f>IF(ISNUMBER(W17),W17," - ")</f>
        <v>17</v>
      </c>
      <c r="BD17" s="126">
        <f>IF(ISNUMBER(BA17/AZ17),BA17/AZ17," - ")</f>
        <v>0.9509803921568627</v>
      </c>
      <c r="BE17" s="127">
        <f>IF(ISNUMBER(BB17/BA17),BB17/BA17, " - ")</f>
        <v>0.54639175257731953</v>
      </c>
      <c r="BF17" s="127">
        <f>IF(ISNUMBER(BC17/BA17),BC17/BA17, " - ")</f>
        <v>8.7628865979381437E-2</v>
      </c>
      <c r="BG17" s="195">
        <f>IF(ISNUMBER((AY17+AZ17)/BA17),(AY17+AZ17)/BA17," - ")</f>
        <v>1.5309278350515463</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6064</v>
      </c>
      <c r="J18" s="183">
        <f t="shared" si="15"/>
        <v>2479</v>
      </c>
      <c r="K18" s="183">
        <f t="shared" si="15"/>
        <v>1962</v>
      </c>
      <c r="L18" s="183">
        <f t="shared" si="15"/>
        <v>6607</v>
      </c>
      <c r="M18" s="183">
        <f t="shared" si="15"/>
        <v>246</v>
      </c>
      <c r="N18" s="183">
        <f t="shared" si="15"/>
        <v>1208</v>
      </c>
      <c r="O18" s="183">
        <f t="shared" si="15"/>
        <v>12</v>
      </c>
      <c r="P18" s="183">
        <f t="shared" si="15"/>
        <v>20</v>
      </c>
      <c r="Q18" s="183">
        <f t="shared" si="15"/>
        <v>25</v>
      </c>
      <c r="R18" s="183">
        <f t="shared" si="15"/>
        <v>364</v>
      </c>
      <c r="S18" s="183">
        <f t="shared" si="15"/>
        <v>5005</v>
      </c>
      <c r="T18" s="183">
        <f t="shared" si="15"/>
        <v>2774</v>
      </c>
      <c r="U18" s="183">
        <f t="shared" si="15"/>
        <v>2407</v>
      </c>
      <c r="V18" s="183">
        <f t="shared" si="15"/>
        <v>5394</v>
      </c>
      <c r="W18" s="183">
        <f t="shared" si="15"/>
        <v>257</v>
      </c>
      <c r="X18" s="183">
        <f t="shared" si="15"/>
        <v>1620</v>
      </c>
      <c r="Y18" s="183">
        <f t="shared" si="15"/>
        <v>0</v>
      </c>
      <c r="Z18" s="183">
        <f t="shared" si="15"/>
        <v>0</v>
      </c>
      <c r="AA18" s="183">
        <f t="shared" si="15"/>
        <v>0</v>
      </c>
      <c r="AB18" s="183">
        <f t="shared" si="15"/>
        <v>0</v>
      </c>
      <c r="AC18" s="183">
        <f t="shared" si="15"/>
        <v>11</v>
      </c>
      <c r="AD18" s="183">
        <f t="shared" si="15"/>
        <v>42</v>
      </c>
      <c r="AE18" s="183">
        <f t="shared" si="15"/>
        <v>53</v>
      </c>
      <c r="AF18" s="183">
        <f t="shared" si="15"/>
        <v>0</v>
      </c>
      <c r="AG18" s="183">
        <f t="shared" si="15"/>
        <v>0</v>
      </c>
      <c r="AH18" s="183">
        <f t="shared" si="15"/>
        <v>0</v>
      </c>
      <c r="AI18" s="183">
        <f t="shared" si="15"/>
        <v>0</v>
      </c>
      <c r="AJ18" s="183">
        <f t="shared" si="15"/>
        <v>0</v>
      </c>
      <c r="AK18" s="183">
        <f t="shared" si="15"/>
        <v>0</v>
      </c>
      <c r="AL18" s="183">
        <f t="shared" si="15"/>
        <v>70</v>
      </c>
      <c r="AM18" s="183">
        <f t="shared" si="15"/>
        <v>70</v>
      </c>
      <c r="AN18" s="183">
        <f t="shared" si="15"/>
        <v>0</v>
      </c>
      <c r="AO18" s="183">
        <f t="shared" si="15"/>
        <v>10</v>
      </c>
      <c r="AP18" s="183">
        <f t="shared" si="15"/>
        <v>10</v>
      </c>
      <c r="AQ18" s="183">
        <f t="shared" si="15"/>
        <v>10</v>
      </c>
      <c r="AR18" s="183">
        <f t="shared" si="15"/>
        <v>10</v>
      </c>
      <c r="AS18" s="183">
        <f t="shared" si="15"/>
        <v>0</v>
      </c>
      <c r="AT18" s="183">
        <f t="shared" si="15"/>
        <v>0</v>
      </c>
      <c r="AU18" s="203"/>
      <c r="AV18" s="132"/>
      <c r="AW18" s="203"/>
      <c r="AX18" s="132"/>
      <c r="AY18" s="183">
        <f>SUBTOTAL(9,AY14:AY17)</f>
        <v>5005</v>
      </c>
      <c r="AZ18" s="183">
        <f>SUBTOTAL(9,AZ14:AZ17)</f>
        <v>2774</v>
      </c>
      <c r="BA18" s="183">
        <f>SUBTOTAL(9,BA14:BA17)</f>
        <v>2407</v>
      </c>
      <c r="BB18" s="183">
        <f>SUBTOTAL(9,BB14:BB17)</f>
        <v>5394</v>
      </c>
      <c r="BC18" s="183">
        <f>SUBTOTAL(9,BC14:BC17)</f>
        <v>257</v>
      </c>
      <c r="BD18" s="204">
        <f>IF(ISNUMBER(BA18/AZ18),BA18/AZ18," - ")</f>
        <v>0.86770007209805333</v>
      </c>
      <c r="BE18" s="205">
        <f>IF(ISNUMBER(BB18/BA18),BB18/BA18, " - ")</f>
        <v>2.2409638554216866</v>
      </c>
      <c r="BF18" s="205">
        <f>IF(ISNUMBER(BC18/BA18),BC18/BA18, " - ")</f>
        <v>0.10677191524719568</v>
      </c>
      <c r="BG18" s="206">
        <f>IF(ISNUMBER((AY18+AZ18)/BA18),(AY18+AZ18)/BA18," - ")</f>
        <v>3.2318238471125884</v>
      </c>
      <c r="BH18" s="183">
        <f>SUBTOTAL(9,BH14:BH17)</f>
        <v>10</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16302</v>
      </c>
      <c r="J19" s="134">
        <f t="shared" si="18"/>
        <v>3588</v>
      </c>
      <c r="K19" s="134">
        <f t="shared" si="18"/>
        <v>4031</v>
      </c>
      <c r="L19" s="134">
        <f t="shared" si="18"/>
        <v>15885</v>
      </c>
      <c r="M19" s="134">
        <f t="shared" si="18"/>
        <v>701</v>
      </c>
      <c r="N19" s="134">
        <f t="shared" si="18"/>
        <v>2139</v>
      </c>
      <c r="O19" s="134">
        <f t="shared" si="18"/>
        <v>955</v>
      </c>
      <c r="P19" s="134">
        <f t="shared" si="18"/>
        <v>862</v>
      </c>
      <c r="Q19" s="134">
        <f t="shared" si="18"/>
        <v>411</v>
      </c>
      <c r="R19" s="134">
        <f t="shared" si="18"/>
        <v>16567</v>
      </c>
      <c r="S19" s="134">
        <f t="shared" si="18"/>
        <v>12897</v>
      </c>
      <c r="T19" s="134">
        <f t="shared" si="18"/>
        <v>5403</v>
      </c>
      <c r="U19" s="134">
        <f t="shared" si="18"/>
        <v>4324</v>
      </c>
      <c r="V19" s="134">
        <f t="shared" si="18"/>
        <v>13998</v>
      </c>
      <c r="W19" s="134">
        <f t="shared" si="18"/>
        <v>723</v>
      </c>
      <c r="X19" s="134">
        <f t="shared" si="18"/>
        <v>2433</v>
      </c>
      <c r="Y19" s="134">
        <f t="shared" si="18"/>
        <v>160</v>
      </c>
      <c r="Z19" s="134">
        <f t="shared" si="18"/>
        <v>108</v>
      </c>
      <c r="AA19" s="134">
        <f t="shared" si="18"/>
        <v>62</v>
      </c>
      <c r="AB19" s="134">
        <f t="shared" si="18"/>
        <v>206</v>
      </c>
      <c r="AC19" s="134">
        <f t="shared" si="18"/>
        <v>11</v>
      </c>
      <c r="AD19" s="134">
        <f t="shared" si="18"/>
        <v>42</v>
      </c>
      <c r="AE19" s="134">
        <f t="shared" si="18"/>
        <v>53</v>
      </c>
      <c r="AF19" s="134">
        <f t="shared" si="18"/>
        <v>0</v>
      </c>
      <c r="AG19" s="134">
        <f t="shared" si="18"/>
        <v>170</v>
      </c>
      <c r="AH19" s="134">
        <f t="shared" si="18"/>
        <v>86</v>
      </c>
      <c r="AI19" s="134">
        <f t="shared" si="18"/>
        <v>91</v>
      </c>
      <c r="AJ19" s="134">
        <f t="shared" si="18"/>
        <v>165</v>
      </c>
      <c r="AK19" s="134">
        <f t="shared" si="18"/>
        <v>0</v>
      </c>
      <c r="AL19" s="134">
        <f t="shared" si="18"/>
        <v>70</v>
      </c>
      <c r="AM19" s="134">
        <f t="shared" si="18"/>
        <v>70</v>
      </c>
      <c r="AN19" s="209">
        <f t="shared" si="18"/>
        <v>0</v>
      </c>
      <c r="AO19" s="210">
        <v>10</v>
      </c>
      <c r="AP19" s="210">
        <v>10</v>
      </c>
      <c r="AQ19" s="210">
        <v>10</v>
      </c>
      <c r="AR19" s="210">
        <v>10</v>
      </c>
      <c r="AS19" s="152">
        <f t="shared" si="18"/>
        <v>0</v>
      </c>
      <c r="AT19" s="152">
        <f t="shared" si="18"/>
        <v>0</v>
      </c>
      <c r="AU19" s="210"/>
      <c r="AV19" s="211"/>
      <c r="AW19" s="210"/>
      <c r="AX19" s="211"/>
      <c r="AY19" s="133">
        <f>SUBTOTAL(9,AY9:AY18)</f>
        <v>13067</v>
      </c>
      <c r="AZ19" s="134">
        <f>SUBTOTAL(9,AZ9:AZ18)</f>
        <v>5489</v>
      </c>
      <c r="BA19" s="134">
        <f>SUBTOTAL(9,BA9:BA18)</f>
        <v>4415</v>
      </c>
      <c r="BB19" s="134">
        <f>SUBTOTAL(9,BB9:BB18)</f>
        <v>14163</v>
      </c>
      <c r="BC19" s="135">
        <f>SUBTOTAL(9,BC9:BC18)</f>
        <v>1058</v>
      </c>
      <c r="BD19" s="212">
        <f>IF(ISNUMBER(BA19/AZ19),BA19/AZ19," - ")</f>
        <v>0.8043359446165057</v>
      </c>
      <c r="BE19" s="209">
        <f>IF(ISNUMBER(BB19/BA19),BB19/BA19, " - ")</f>
        <v>3.2079275198187998</v>
      </c>
      <c r="BF19" s="209">
        <f>IF(ISNUMBER(BC19/BA19),BC19/BA19, " - ")</f>
        <v>0.23963759909399773</v>
      </c>
      <c r="BG19" s="135">
        <f>IF(ISNUMBER((AY19+AZ19)/BA19),(AY19+AZ19)/BA19," - ")</f>
        <v>4.2029445073612681</v>
      </c>
      <c r="BH19" s="210">
        <f>SUBTOTAL(9,BH9:BH18)</f>
        <v>20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z7rGu+4aXqUm982vZqBN87faJ2kDafPIdIsPRKTCSrstVKsvxiRPkm43QH/YX5Kmh0anvC0+CHyFH9A5rjBvw==" saltValue="1fiy9+309wsXZyGt4wUzb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TARRAGONA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1nZC9iZgnLpTuEu4vmR4KKuNffqlIyb+EK2/P7iDodZK9gzWosUw1iwp0WHklzaVcirRGMuedAufdUNTKnL4VQ==" saltValue="MT+65bmfFgrkpl1VY6cZB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TARRAGONA  Resumenes por Partidos Judiciales  VENDRELL, EL</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88</v>
      </c>
      <c r="G10" s="332">
        <f>IF(ISNUMBER(Datos!I10),Datos!I10," - ")</f>
        <v>88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4</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23</v>
      </c>
      <c r="AC10" s="225">
        <f>IF(ISNUMBER(Datos!Q10),Datos!Q10," - ")</f>
        <v>0</v>
      </c>
      <c r="AD10" s="333"/>
      <c r="AE10" s="483"/>
      <c r="AF10" s="331">
        <f>IF(ISNUMBER(Datos!L10),Datos!L10,"-")</f>
        <v>88</v>
      </c>
      <c r="AG10" s="333"/>
      <c r="AH10" s="333"/>
      <c r="AI10" s="333"/>
      <c r="AJ10" s="333"/>
      <c r="AK10" s="333"/>
      <c r="AL10" s="478"/>
      <c r="AM10" s="334">
        <f>IF(ISNUMBER(Datos!R10),Datos!R10," - ")</f>
        <v>122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8</v>
      </c>
      <c r="BD10" s="228">
        <f>IF(ISNUMBER(Datos!N10),Datos!N10," - ")</f>
        <v>10</v>
      </c>
      <c r="BE10" s="228" t="str">
        <f>IF(ISNUMBER(Datos!BW10),Datos!BW10," - ")</f>
        <v xml:space="preserve"> - </v>
      </c>
      <c r="BF10" s="227" t="str">
        <f>IF(ISNUMBER(Datos!BX10),Datos!BX10," - ")</f>
        <v xml:space="preserve"> - </v>
      </c>
      <c r="BG10" s="242">
        <f>IF(ISNUMBER(Datos!K10/Datos!J10),Datos!K10/Datos!J10," - ")</f>
        <v>1</v>
      </c>
      <c r="BH10" s="259">
        <f>IF(ISNUMBER(((Datos!L10/Datos!K10)*11)/factor_trimestre),((Datos!L10/Datos!K10)*11)/factor_trimestre," - ")</f>
        <v>7.6521739130434785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3.3898305084745763E-2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9</v>
      </c>
      <c r="B12" s="506" t="s">
        <v>246</v>
      </c>
      <c r="C12" s="7" t="str">
        <f>Datos!A12</f>
        <v xml:space="preserve">Jdos. 1ª Instª. e Instr./Secc. Civil y de Inst. TI                      </v>
      </c>
      <c r="D12" s="507"/>
      <c r="E12" s="259">
        <f>IF(ISNUMBER(Datos!AQ12),Datos!AQ12," - ")</f>
        <v>9</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108</v>
      </c>
      <c r="O12" s="333"/>
      <c r="P12" s="333"/>
      <c r="Q12" s="225">
        <f>IF(ISNUMBER(Datos!P12),Datos!P12,0)</f>
        <v>838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386</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206</v>
      </c>
      <c r="AI12" s="333" t="str">
        <f>IF(ISNUMBER(Datos!CD12),Datos!CD12,"-")</f>
        <v>-</v>
      </c>
      <c r="AJ12" s="333" t="str">
        <f>IF(ISNUMBER(Datos!EN12),Datos!EN12," - ")</f>
        <v xml:space="preserve"> - </v>
      </c>
      <c r="AK12" s="333"/>
      <c r="AL12" s="478"/>
      <c r="AM12" s="334">
        <f>IF(ISNUMBER(Datos!R12),Datos!R12," - ")</f>
        <v>16081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447</v>
      </c>
      <c r="BD12" s="228">
        <f>IF(ISNUMBER(Datos!N12),Datos!N12," - ")</f>
        <v>921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1.7654941373534339</v>
      </c>
      <c r="BH12" s="259">
        <f>IF(ISNUMBER(((IF(J_V="SI",Datos!L12/Datos!K12,(Datos!L12+Datos!AB12)/(Datos!K12+Datos!AA12)))*11)/factor_trimestre),((IF(J_V="SI",Datos!L12/Datos!K12,(Datos!L12+Datos!AB12)/(Datos!K12+Datos!AA12)))*11)/factor_trimestre," - ")</f>
        <v>8.9146110056925991</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2.89205963273402E-2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10</v>
      </c>
      <c r="F13" s="897">
        <f t="shared" si="0"/>
        <v>88</v>
      </c>
      <c r="G13" s="897">
        <f t="shared" si="0"/>
        <v>88</v>
      </c>
      <c r="H13" s="898">
        <f t="shared" si="0"/>
        <v>0</v>
      </c>
      <c r="I13" s="897">
        <f t="shared" si="0"/>
        <v>0</v>
      </c>
      <c r="J13" s="866">
        <f t="shared" si="0"/>
        <v>0</v>
      </c>
      <c r="K13" s="866">
        <f t="shared" si="0"/>
        <v>0</v>
      </c>
      <c r="L13" s="898">
        <f t="shared" si="0"/>
        <v>0</v>
      </c>
      <c r="M13" s="898">
        <f t="shared" si="0"/>
        <v>0</v>
      </c>
      <c r="N13" s="898">
        <f t="shared" si="0"/>
        <v>108</v>
      </c>
      <c r="O13" s="899">
        <f t="shared" si="0"/>
        <v>0</v>
      </c>
      <c r="P13" s="899">
        <f t="shared" si="0"/>
        <v>0</v>
      </c>
      <c r="Q13" s="898">
        <f t="shared" si="0"/>
        <v>842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23</v>
      </c>
      <c r="AC13" s="898">
        <f t="shared" si="1"/>
        <v>386</v>
      </c>
      <c r="AD13" s="898">
        <f t="shared" si="1"/>
        <v>0</v>
      </c>
      <c r="AE13" s="898">
        <f t="shared" si="1"/>
        <v>0</v>
      </c>
      <c r="AF13" s="898">
        <f t="shared" si="1"/>
        <v>88</v>
      </c>
      <c r="AG13" s="898">
        <f t="shared" si="1"/>
        <v>0</v>
      </c>
      <c r="AH13" s="898">
        <f t="shared" si="1"/>
        <v>206</v>
      </c>
      <c r="AI13" s="898">
        <f t="shared" si="1"/>
        <v>0</v>
      </c>
      <c r="AJ13" s="898">
        <f t="shared" si="1"/>
        <v>0</v>
      </c>
      <c r="AK13" s="898">
        <f t="shared" si="1"/>
        <v>0</v>
      </c>
      <c r="AL13" s="898">
        <f t="shared" si="1"/>
        <v>0</v>
      </c>
      <c r="AM13" s="898">
        <f t="shared" si="1"/>
        <v>16203</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455</v>
      </c>
      <c r="BD13" s="898">
        <f t="shared" si="1"/>
        <v>931</v>
      </c>
      <c r="BE13" s="898">
        <f t="shared" si="1"/>
        <v>0</v>
      </c>
      <c r="BF13" s="898">
        <f t="shared" si="1"/>
        <v>0</v>
      </c>
      <c r="BG13" s="898">
        <f>IF(ISNUMBER(Datos!K13/Datos!J13),Datos!K13/Datos!J13," - ")</f>
        <v>1.8656447249774573</v>
      </c>
      <c r="BH13" s="902">
        <f>IF(ISNUMBER(((Datos!L13/Datos!K13)*11)/factor_trimestre),((Datos!L13/Datos!K13)*11)/factor_trimestre," - ")</f>
        <v>8.9685838569357177</v>
      </c>
      <c r="BI13" s="898">
        <f>IF(ISNUMBER('Resol  Asuntos'!D13/NºAsuntos!G13),'Resol  Asuntos'!D13/NºAsuntos!G13," - ")</f>
        <v>0.21351478179258565</v>
      </c>
      <c r="BJ13" s="898" t="str">
        <f>IF(ISNUMBER(Datos!CI13/Datos!CJ13),Datos!CI13/Datos!CJ13," - ")</f>
        <v xml:space="preserve"> - </v>
      </c>
      <c r="BK13" s="898">
        <f>SUBTOTAL(9,BK8:BK12)</f>
        <v>0</v>
      </c>
      <c r="BL13" s="898">
        <f>IF(ISNUMBER((I13-AB13+L13)/(F13)),(I13-AB13+L13)/(F13)," - ")</f>
        <v>-0.26136363636363635</v>
      </c>
      <c r="BM13" s="903">
        <f>SUBTOTAL(9,BM9:BM12)</f>
        <v>6.2818901412085959E-2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9</v>
      </c>
      <c r="B16" s="593" t="s">
        <v>396</v>
      </c>
      <c r="C16" s="599" t="str">
        <f>Datos!A16</f>
        <v xml:space="preserve">Jdos. 1ª Instª. e Instr./Secc. Civil y de Inst. TI                      </v>
      </c>
      <c r="D16" s="600"/>
      <c r="E16" s="1164">
        <f>IF(ISNUMBER(Datos!AQ16),Datos!AQ16," - ")</f>
        <v>9</v>
      </c>
      <c r="F16" s="594">
        <f>IF(ISNUMBER(AF16+AB16-Datos!J16-L16),AF16+AB16-Datos!J16-L16," - ")</f>
        <v>6027</v>
      </c>
      <c r="G16" s="597">
        <f>IF(ISNUMBER(IF(D_I="SI",Datos!I16,Datos!I16+Datos!AC16)),IF(D_I="SI",Datos!I16,Datos!I16+Datos!AC16)," - ")</f>
        <v>6003</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1761</v>
      </c>
      <c r="AC16" s="225">
        <f>IF(ISNUMBER(Datos!Q16),Datos!Q16," - ")</f>
        <v>23</v>
      </c>
      <c r="AD16" s="333"/>
      <c r="AE16" s="483"/>
      <c r="AF16" s="595">
        <f>IF(ISNUMBER(IF(D_I="SI",Datos!L16,Datos!L16+Datos!AF16)),IF(D_I="SI",Datos!L16,Datos!L16+Datos!AF16)," - ")</f>
        <v>6528</v>
      </c>
      <c r="AG16" s="333"/>
      <c r="AH16" s="333"/>
      <c r="AI16" s="333"/>
      <c r="AJ16" s="333"/>
      <c r="AK16" s="333"/>
      <c r="AL16" s="478"/>
      <c r="AM16" s="334">
        <f>IF(ISNUMBER(Datos!R16),Datos!R16," - ")</f>
        <v>364</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228</v>
      </c>
      <c r="BD16" s="228">
        <f>IF(ISNUMBER(Datos!N16),Datos!N16," - ")</f>
        <v>1093</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0.77851458885941649</v>
      </c>
      <c r="BH16" s="259">
        <f>IF(ISNUMBER(((IF(D_I="SI",Datos!L16/Datos!K16,(Datos!L16+Datos!AF16)/(Datos!K16+Datos!AE16)))*11)/factor_trimestre),((IF(D_I="SI",Datos!L16/Datos!K16,(Datos!L16+Datos!AF16)/(Datos!K16+Datos!AE16)))*11)/factor_trimestre," - ")</f>
        <v>7.4139693356047704</v>
      </c>
      <c r="BI16" s="242">
        <f>IF(ISNUMBER('Resol  Asuntos'!D16/NºAsuntos!G16),'Resol  Asuntos'!D16/NºAsuntos!G16," - ")</f>
        <v>0.12947189097103917</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61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201</v>
      </c>
      <c r="AC17" s="225">
        <f>IF(ISNUMBER(Datos!Q17),Datos!Q17," - ")</f>
        <v>2</v>
      </c>
      <c r="AD17" s="333"/>
      <c r="AE17" s="483"/>
      <c r="AF17" s="331">
        <f>IF(ISNUMBER(Datos!L17),Datos!L17,"-")</f>
        <v>79</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18</v>
      </c>
      <c r="BD17" s="228">
        <f>IF(ISNUMBER(Datos!N17),Datos!N17," - ")</f>
        <v>115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0.92626728110599077</v>
      </c>
      <c r="BH17" s="259">
        <f>IF(ISNUMBER(((IF(D_I="SI",Datos!L17/Datos!K17,(Datos!L17+Datos!AF17)/(Datos!K17+Datos!AE17)))*11)/factor_trimestre),((IF(D_I="SI",Datos!L17/Datos!K17,(Datos!L17+Datos!AF17)/(Datos!K17+Datos!AE17)))*11)/factor_trimestre," - ")</f>
        <v>0.7860696517412934</v>
      </c>
      <c r="BI17" s="242">
        <f>IF(ISNUMBER('Resol  Asuntos'!D17/NºAsuntos!G17),'Resol  Asuntos'!D17/NºAsuntos!G17," - ")</f>
        <v>8.9552238805970144E-2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10</v>
      </c>
      <c r="F18" s="897">
        <f>SUBTOTAL(9,F15:F17)</f>
        <v>6027</v>
      </c>
      <c r="G18" s="897">
        <f>SUBTOTAL(9,G15:G17)</f>
        <v>6064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1962</v>
      </c>
      <c r="AC18" s="898">
        <f t="shared" si="4"/>
        <v>25</v>
      </c>
      <c r="AD18" s="898">
        <f t="shared" si="4"/>
        <v>0</v>
      </c>
      <c r="AE18" s="898">
        <f t="shared" si="4"/>
        <v>0</v>
      </c>
      <c r="AF18" s="898">
        <f t="shared" si="4"/>
        <v>6607</v>
      </c>
      <c r="AG18" s="898">
        <f t="shared" si="4"/>
        <v>0</v>
      </c>
      <c r="AH18" s="898">
        <f t="shared" si="4"/>
        <v>0</v>
      </c>
      <c r="AI18" s="898">
        <f t="shared" si="4"/>
        <v>0</v>
      </c>
      <c r="AJ18" s="898">
        <f t="shared" si="4"/>
        <v>0</v>
      </c>
      <c r="AK18" s="898">
        <f t="shared" si="4"/>
        <v>0</v>
      </c>
      <c r="AL18" s="898">
        <f t="shared" si="4"/>
        <v>0</v>
      </c>
      <c r="AM18" s="898">
        <f t="shared" si="4"/>
        <v>364</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246</v>
      </c>
      <c r="BD18" s="898">
        <f t="shared" si="4"/>
        <v>1208</v>
      </c>
      <c r="BE18" s="898">
        <f t="shared" si="4"/>
        <v>0</v>
      </c>
      <c r="BF18" s="898">
        <f t="shared" si="4"/>
        <v>0</v>
      </c>
      <c r="BG18" s="898">
        <f>IF(ISNUMBER(Datos!K18/Datos!J18),Datos!K18/Datos!J18," - ")</f>
        <v>0.7914481645824929</v>
      </c>
      <c r="BH18" s="902">
        <f>IF(ISNUMBER(((Datos!L18/Datos!K18)*11)/factor_trimestre),((Datos!L18/Datos!K18)*11)/factor_trimestre," - ")</f>
        <v>6.7349643221202857</v>
      </c>
      <c r="BI18" s="898">
        <f>SUBTOTAL(9,BI15:BI17)</f>
        <v>0.2190241297770093</v>
      </c>
      <c r="BJ18" s="898">
        <f>SUBTOTAL(9,BJ15:BJ17)</f>
        <v>0</v>
      </c>
      <c r="BK18" s="898">
        <f>SUBTOTAL(9,BK15:BK17)</f>
        <v>0</v>
      </c>
      <c r="BL18" s="898">
        <f>IF(ISNUMBER((I18-AB18+L18)/(F18)),(I18-AB18+L18)/(F18)," - ")</f>
        <v>-0.32553509208561471</v>
      </c>
      <c r="BM18" s="904">
        <f>IF(ISNUMBER((Datos!P18-Datos!Q18)/(Datos!R18-Datos!P18+Datos!Q18)),(Datos!P18-Datos!Q18)/(Datos!R18-Datos!P18+Datos!Q18)," - ")</f>
        <v>-1.3550135501355014E-2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20</v>
      </c>
      <c r="F19" s="819">
        <f t="shared" si="6"/>
        <v>6115</v>
      </c>
      <c r="G19" s="819">
        <f t="shared" si="6"/>
        <v>6152</v>
      </c>
      <c r="H19" s="821">
        <f t="shared" si="6"/>
        <v>0</v>
      </c>
      <c r="I19" s="819">
        <f t="shared" si="6"/>
        <v>0</v>
      </c>
      <c r="J19" s="821">
        <f t="shared" si="6"/>
        <v>0</v>
      </c>
      <c r="K19" s="821">
        <f t="shared" si="6"/>
        <v>0</v>
      </c>
      <c r="L19" s="880">
        <f t="shared" si="6"/>
        <v>0</v>
      </c>
      <c r="M19" s="880">
        <f t="shared" si="6"/>
        <v>0</v>
      </c>
      <c r="N19" s="880">
        <f t="shared" si="6"/>
        <v>108</v>
      </c>
      <c r="O19" s="880">
        <f t="shared" si="6"/>
        <v>0</v>
      </c>
      <c r="P19" s="880">
        <f t="shared" si="6"/>
        <v>0</v>
      </c>
      <c r="Q19" s="821">
        <f t="shared" si="6"/>
        <v>862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1985</v>
      </c>
      <c r="AC19" s="820">
        <f t="shared" si="7"/>
        <v>411</v>
      </c>
      <c r="AD19" s="820">
        <f t="shared" si="7"/>
        <v>0</v>
      </c>
      <c r="AE19" s="820">
        <f t="shared" si="7"/>
        <v>0</v>
      </c>
      <c r="AF19" s="827">
        <f t="shared" si="7"/>
        <v>6695</v>
      </c>
      <c r="AG19" s="827">
        <f t="shared" si="7"/>
        <v>0</v>
      </c>
      <c r="AH19" s="827">
        <f t="shared" si="7"/>
        <v>206</v>
      </c>
      <c r="AI19" s="827">
        <f t="shared" si="7"/>
        <v>0</v>
      </c>
      <c r="AJ19" s="820">
        <f t="shared" si="7"/>
        <v>0</v>
      </c>
      <c r="AK19" s="827">
        <f t="shared" si="7"/>
        <v>0</v>
      </c>
      <c r="AL19" s="827">
        <f t="shared" si="7"/>
        <v>0</v>
      </c>
      <c r="AM19" s="827">
        <f t="shared" si="7"/>
        <v>16567</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701</v>
      </c>
      <c r="BD19" s="819">
        <f t="shared" si="7"/>
        <v>2139</v>
      </c>
      <c r="BE19" s="819">
        <f t="shared" si="7"/>
        <v>0</v>
      </c>
      <c r="BF19" s="829">
        <f t="shared" si="7"/>
        <v>0</v>
      </c>
      <c r="BG19" s="914">
        <f>IF(ISNUMBER(Datos!K19/Datos!J19),Datos!K19/Datos!J19," - ")</f>
        <v>1.1234671125975473</v>
      </c>
      <c r="BH19" s="914">
        <f>IF(ISNUMBER(((Datos!L19/Datos!K19)*11)/factor_trimestre),((Datos!L19/Datos!K19)*11)/factor_trimestre," - ")</f>
        <v>7.8814190027288511</v>
      </c>
      <c r="BI19" s="812">
        <f>IF(ISNUMBER(Datos!J19/Datos!I19),Datos!J19/Datos!I19," - ")</f>
        <v>0.22009569377990432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-0.32461161079313167</v>
      </c>
      <c r="BM19" s="888">
        <f>IF(ISNUMBER((Datos!P19-Datos!Q19+R19)/(Datos!R19-Datos!P19+Datos!Q19-R19)),(Datos!P19-Datos!Q19+R19)/(Datos!R19-Datos!P19+Datos!Q19-R19)," - ")</f>
        <v>2.7984611566145446E-2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2460.8000000000002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4.8247049420433763</v>
      </c>
      <c r="F21" s="550">
        <f>IF(ISNUMBER(STDEV(F8:F18)),STDEV(F8:F18),"-")</f>
        <v>3428.8832487171876</v>
      </c>
      <c r="G21" s="551">
        <f>IF(ISNUMBER(STDEV(G8:G18)),STDEV(G8:G18),"-")</f>
        <v>3261.5039015766943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979.77599480697631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196.02108730100102</v>
      </c>
      <c r="BD21" s="550"/>
      <c r="BE21" s="550">
        <f>IF(ISNUMBER(STDEV(BE8:BE18)),STDEV(BE8:BE18),"-")</f>
        <v>0</v>
      </c>
      <c r="BF21" s="555">
        <f>IF(ISNUMBER(STDEV(BF8:BF18)),STDEV(BF8:BF18),"-")</f>
        <v>0</v>
      </c>
      <c r="BG21" s="774">
        <f>IF(ISNUMBER(STDEV(BG8:BG18)),STDEV(BG8:BG18),"-")</f>
        <v>0.4942633835992945</v>
      </c>
      <c r="BH21" s="775">
        <f>IF(ISNUMBER(STDEV(BH8:BH18)),STDEV(BH8:BH18),"-")</f>
        <v>3.0473258162686943</v>
      </c>
      <c r="BI21" s="248">
        <f>IF(ISNUMBER(STDEV(BI8:BI18)),STDEV(BI8:BI18),"-")</f>
        <v>6.3794216778327348E-2</v>
      </c>
      <c r="BJ21" s="229" t="str">
        <f>IF(ISNUMBER(BL21/BM21),BL21/BM21," - ")</f>
        <v xml:space="preserve"> - </v>
      </c>
      <c r="BK21" s="574"/>
      <c r="BL21" s="558">
        <f>IF(ISNUMBER(STDEV(BL8:BL18)),STDEV(BL8:BL18),"-")</f>
        <v>4.5376071499623055E-2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gxxM8K34eeB0qoLQpL0Qy+DnOcGc4sH8M4jcQ43eRJwZngMnvN3wSj1bSOAqOJE/KYaH4Npj+faIA5b5Hpklnw==" saltValue="/KlXmFix6nP4P8v6Jh02i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TARRAGONA  Resumenes por Partidos Judiciales  VENDRELL, EL</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88</v>
      </c>
      <c r="G10" s="224">
        <f>IF(ISNUMBER(Datos!I10),Datos!I10," - ")</f>
        <v>88</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4</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23</v>
      </c>
      <c r="Z10" s="618">
        <f>IF(ISNUMBER(Datos!Q10),Datos!Q10," - ")</f>
        <v>0</v>
      </c>
      <c r="AA10" s="331">
        <f>IF(ISNUMBER(Datos!L10),Datos!L10,"-")</f>
        <v>88</v>
      </c>
      <c r="AB10" s="333"/>
      <c r="AC10" s="333"/>
      <c r="AD10" s="483"/>
      <c r="AE10" s="483">
        <f>IF(ISNUMBER(Datos!R10),Datos!R10," - ")</f>
        <v>122</v>
      </c>
      <c r="AF10" s="228" t="str">
        <f>IF(ISNUMBER(Datos!BV10),Datos!BV10," - ")</f>
        <v xml:space="preserve"> - </v>
      </c>
      <c r="AG10" s="224" t="str">
        <f>IF(ISNUMBER(Datos!DV10),Datos!DV10," - ")</f>
        <v xml:space="preserve"> - </v>
      </c>
      <c r="AH10" s="297"/>
      <c r="AI10" s="226"/>
      <c r="AJ10" s="224">
        <f>IF(ISNUMBER(Datos!M10),Datos!M10," - ")</f>
        <v>8</v>
      </c>
      <c r="AK10" s="228">
        <f>IF(ISNUMBER(Datos!N10),Datos!N10," - ")</f>
        <v>10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7.6521739130434785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3.3898305084745763E-2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9</v>
      </c>
      <c r="B12" s="506" t="s">
        <v>246</v>
      </c>
      <c r="C12" s="7" t="str">
        <f>Datos!A12</f>
        <v xml:space="preserve">Jdos. 1ª Instª. e Instr./Secc. Civil y de Inst. TI                      </v>
      </c>
      <c r="D12" s="507"/>
      <c r="E12" s="1167">
        <f>IF(ISNUMBER(Datos!AQ12),Datos!AQ12," - ")</f>
        <v>9</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838</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386</v>
      </c>
      <c r="AA12" s="331" t="str">
        <f>IF(ISNUMBER(IF(J_V="SI",Datos!L12,Datos!L12+Datos!AB12)-IF(Monitorios="SI",Datos!CD12,0)),
                          IF(J_V="SI",Datos!L12,Datos!L12+Datos!AB12)-IF(Monitorios="SI",Datos!CD12,0),
                          " - ")</f>
        <v xml:space="preserve"> - </v>
      </c>
      <c r="AB12" s="333"/>
      <c r="AC12" s="333"/>
      <c r="AD12" s="483"/>
      <c r="AE12" s="483">
        <f>IF(ISNUMBER(Datos!R12),Datos!R12," - ")</f>
        <v>16081</v>
      </c>
      <c r="AF12" s="228" t="str">
        <f>IF(ISNUMBER(Datos!BV12),Datos!BV12," - ")</f>
        <v xml:space="preserve"> - </v>
      </c>
      <c r="AG12" s="224" t="str">
        <f>IF(ISNUMBER(Datos!DV12),Datos!DV12," - ")</f>
        <v xml:space="preserve"> - </v>
      </c>
      <c r="AH12" s="297"/>
      <c r="AI12" s="226"/>
      <c r="AJ12" s="224">
        <f>IF(ISNUMBER(Datos!M12),Datos!M12," - ")</f>
        <v>447</v>
      </c>
      <c r="AK12" s="228">
        <f>IF(ISNUMBER(Datos!N12),Datos!N12," - ")</f>
        <v>921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8.9146110056925991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2.89205963273402E-2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10</v>
      </c>
      <c r="F13" s="897">
        <f>SUBTOTAL(9,F8:F12)</f>
        <v>88</v>
      </c>
      <c r="G13" s="897">
        <f>SUBTOTAL(9,G8:G12)</f>
        <v>88</v>
      </c>
      <c r="H13" s="907"/>
      <c r="I13" s="897">
        <f t="shared" ref="I13:N13" si="0">SUBTOTAL(9,I8:I12)</f>
        <v>0</v>
      </c>
      <c r="J13" s="866">
        <f t="shared" si="0"/>
        <v>0</v>
      </c>
      <c r="K13" s="907">
        <f t="shared" si="0"/>
        <v>0</v>
      </c>
      <c r="L13" s="907">
        <f t="shared" si="0"/>
        <v>0</v>
      </c>
      <c r="M13" s="907">
        <f t="shared" si="0"/>
        <v>0</v>
      </c>
      <c r="N13" s="907">
        <f t="shared" si="0"/>
        <v>842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23</v>
      </c>
      <c r="Z13" s="906">
        <f t="shared" si="2"/>
        <v>386</v>
      </c>
      <c r="AA13" s="899">
        <f t="shared" si="2"/>
        <v>88</v>
      </c>
      <c r="AB13" s="899">
        <f t="shared" si="2"/>
        <v>0</v>
      </c>
      <c r="AC13" s="899">
        <f t="shared" si="2"/>
        <v>0</v>
      </c>
      <c r="AD13" s="899">
        <f t="shared" si="2"/>
        <v>0</v>
      </c>
      <c r="AE13" s="899">
        <f t="shared" si="2"/>
        <v>16203</v>
      </c>
      <c r="AF13" s="907">
        <f t="shared" si="2"/>
        <v>0</v>
      </c>
      <c r="AG13" s="907">
        <f t="shared" si="2"/>
        <v>0</v>
      </c>
      <c r="AH13" s="907">
        <f t="shared" si="2"/>
        <v>0</v>
      </c>
      <c r="AI13" s="907">
        <f t="shared" si="2"/>
        <v>0</v>
      </c>
      <c r="AJ13" s="907">
        <f t="shared" si="2"/>
        <v>455</v>
      </c>
      <c r="AK13" s="907">
        <f t="shared" si="2"/>
        <v>931</v>
      </c>
      <c r="AL13" s="907">
        <f t="shared" si="2"/>
        <v>0</v>
      </c>
      <c r="AM13" s="907">
        <f t="shared" si="2"/>
        <v>0</v>
      </c>
      <c r="AN13" s="907">
        <f t="shared" si="2"/>
        <v>0</v>
      </c>
      <c r="AO13" s="903">
        <f>IF(ISNUMBER(((NºAsuntos!I13/NºAsuntos!G13)*11)/factor_trimestre),((NºAsuntos!I13/NºAsuntos!G13)*11)/factor_trimestre," - ")</f>
        <v>8.9009854528390431</v>
      </c>
      <c r="AP13" s="909" t="str">
        <f>IF(ISNUMBER(Datos!CI13/Datos!CJ13),Datos!CI13/Datos!CJ13," - ")</f>
        <v xml:space="preserve"> - </v>
      </c>
      <c r="AQ13" s="927">
        <f t="shared" ref="AQ13:AV13" si="3">SUBTOTAL(9,AQ9:AQ12)</f>
        <v>0</v>
      </c>
      <c r="AR13" s="927">
        <f t="shared" si="3"/>
        <v>6.2818901412085959E-2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9</v>
      </c>
      <c r="B16" s="506" t="s">
        <v>396</v>
      </c>
      <c r="C16" s="159" t="str">
        <f>Datos!A16</f>
        <v xml:space="preserve">Jdos. 1ª Instª. e Instr./Secc. Civil y de Inst. TI                      </v>
      </c>
      <c r="D16" s="501"/>
      <c r="E16" s="1167">
        <f>IF(ISNUMBER(Datos!AQ16),Datos!AQ16," - ")</f>
        <v>9</v>
      </c>
      <c r="F16" s="332">
        <f>IF(ISNUMBER(AA16+Y16-Datos!J16-K15),AA16+Y16-Datos!J16-K15," - ")</f>
        <v>6027</v>
      </c>
      <c r="G16" s="224">
        <f>IF(ISNUMBER(IF(D_I="SI",Datos!I16,Datos!I16+Datos!AC16)),IF(D_I="SI",Datos!I16,Datos!I16+Datos!AC16)," - ")</f>
        <v>6003</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1761</v>
      </c>
      <c r="Z16" s="618">
        <f>IF(ISNUMBER(Datos!Q16),Datos!Q16," - ")</f>
        <v>23</v>
      </c>
      <c r="AA16" s="331">
        <f>IF(ISNUMBER(IF(D_I="SI",Datos!L16,Datos!L16+Datos!AF16)),IF(D_I="SI",Datos!L16,Datos!L16+Datos!AF16)," - ")</f>
        <v>6528</v>
      </c>
      <c r="AB16" s="333"/>
      <c r="AC16" s="333"/>
      <c r="AD16" s="483"/>
      <c r="AE16" s="483">
        <f>IF(ISNUMBER(Datos!R16),Datos!R16," - ")</f>
        <v>364</v>
      </c>
      <c r="AF16" s="228" t="str">
        <f>IF(ISNUMBER(Datos!BV16),Datos!BV16," - ")</f>
        <v xml:space="preserve"> - </v>
      </c>
      <c r="AG16" s="224"/>
      <c r="AH16" s="297"/>
      <c r="AI16" s="226"/>
      <c r="AJ16" s="224">
        <f>IF(ISNUMBER(Datos!M16),Datos!M16," - ")</f>
        <v>228</v>
      </c>
      <c r="AK16" s="228">
        <f>IF(ISNUMBER(Datos!N16),Datos!N16," - ")</f>
        <v>1093</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7.4139693356047704</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61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201</v>
      </c>
      <c r="Z17" s="618">
        <f>IF(ISNUMBER(Datos!Q17),Datos!Q17," - ")</f>
        <v>2</v>
      </c>
      <c r="AA17" s="331">
        <f>IF(ISNUMBER(Datos!L17),Datos!L17,"-")</f>
        <v>79</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18</v>
      </c>
      <c r="AK17" s="228">
        <f>IF(ISNUMBER(Datos!N17),Datos!N17," - ")</f>
        <v>115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0.7860696517412934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10</v>
      </c>
      <c r="F18" s="897">
        <f>SUBTOTAL(9,F15:F17)</f>
        <v>6027</v>
      </c>
      <c r="G18" s="897">
        <f>SUBTOTAL(9,G15:G17)</f>
        <v>6064</v>
      </c>
      <c r="H18" s="931">
        <f>SUBTOTAL(9,H15:H17)</f>
        <v>0</v>
      </c>
      <c r="I18" s="910">
        <f>SUBTOTAL(9,I15:I17)</f>
        <v>0</v>
      </c>
      <c r="J18" s="866">
        <f>SUBTOTAL(9,J14:J17)</f>
        <v>0</v>
      </c>
      <c r="K18" s="931">
        <f t="shared" ref="K18:S18" si="4">SUBTOTAL(9,K15:K17)</f>
        <v>0</v>
      </c>
      <c r="L18" s="931">
        <f t="shared" si="4"/>
        <v>0</v>
      </c>
      <c r="M18" s="931">
        <f t="shared" si="4"/>
        <v>0</v>
      </c>
      <c r="N18" s="931">
        <f t="shared" si="4"/>
        <v>20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1962</v>
      </c>
      <c r="Z18" s="931">
        <f t="shared" si="5"/>
        <v>25</v>
      </c>
      <c r="AA18" s="931">
        <f t="shared" si="5"/>
        <v>6607</v>
      </c>
      <c r="AB18" s="931">
        <f t="shared" si="5"/>
        <v>0</v>
      </c>
      <c r="AC18" s="931">
        <f t="shared" si="5"/>
        <v>0</v>
      </c>
      <c r="AD18" s="931">
        <f t="shared" si="5"/>
        <v>0</v>
      </c>
      <c r="AE18" s="931">
        <f t="shared" si="5"/>
        <v>364</v>
      </c>
      <c r="AF18" s="931">
        <f t="shared" si="5"/>
        <v>0</v>
      </c>
      <c r="AG18" s="931">
        <f t="shared" si="5"/>
        <v>0</v>
      </c>
      <c r="AH18" s="931">
        <f t="shared" si="5"/>
        <v>0</v>
      </c>
      <c r="AI18" s="931">
        <f t="shared" si="5"/>
        <v>0</v>
      </c>
      <c r="AJ18" s="931">
        <f t="shared" si="5"/>
        <v>246</v>
      </c>
      <c r="AK18" s="931">
        <f t="shared" si="5"/>
        <v>1208</v>
      </c>
      <c r="AL18" s="931">
        <f t="shared" si="5"/>
        <v>0</v>
      </c>
      <c r="AM18" s="931">
        <f t="shared" si="5"/>
        <v>0</v>
      </c>
      <c r="AN18" s="931">
        <f t="shared" si="5"/>
        <v>0</v>
      </c>
      <c r="AO18" s="933">
        <f>IF(ISNUMBER(((NºAsuntos!I18/NºAsuntos!G18)*11)/factor_trimestre),((NºAsuntos!I18/NºAsuntos!G18)*11)/factor_trimestre," - ")</f>
        <v>6.7349643221202857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20</v>
      </c>
      <c r="F19" s="819">
        <f t="shared" si="7"/>
        <v>6115</v>
      </c>
      <c r="G19" s="819">
        <f t="shared" si="7"/>
        <v>6152</v>
      </c>
      <c r="H19" s="820">
        <f t="shared" si="7"/>
        <v>0</v>
      </c>
      <c r="I19" s="819">
        <f t="shared" si="7"/>
        <v>0</v>
      </c>
      <c r="J19" s="821">
        <f t="shared" si="7"/>
        <v>0</v>
      </c>
      <c r="K19" s="819">
        <f t="shared" si="7"/>
        <v>0</v>
      </c>
      <c r="L19" s="822">
        <f t="shared" si="7"/>
        <v>0</v>
      </c>
      <c r="M19" s="819">
        <f t="shared" si="7"/>
        <v>0</v>
      </c>
      <c r="N19" s="820">
        <f t="shared" si="7"/>
        <v>862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1985</v>
      </c>
      <c r="Z19" s="826">
        <f t="shared" si="8"/>
        <v>411</v>
      </c>
      <c r="AA19" s="827">
        <f t="shared" si="8"/>
        <v>6695</v>
      </c>
      <c r="AB19" s="827">
        <f t="shared" si="8"/>
        <v>0</v>
      </c>
      <c r="AC19" s="827">
        <f t="shared" si="8"/>
        <v>0</v>
      </c>
      <c r="AD19" s="828">
        <f t="shared" si="8"/>
        <v>0</v>
      </c>
      <c r="AE19" s="828">
        <f t="shared" si="8"/>
        <v>16567</v>
      </c>
      <c r="AF19" s="829">
        <f t="shared" si="8"/>
        <v>0</v>
      </c>
      <c r="AG19" s="830">
        <f t="shared" si="8"/>
        <v>0</v>
      </c>
      <c r="AH19" s="831">
        <f t="shared" si="8"/>
        <v>0</v>
      </c>
      <c r="AI19" s="829">
        <f t="shared" si="8"/>
        <v>0</v>
      </c>
      <c r="AJ19" s="819">
        <f t="shared" si="8"/>
        <v>701</v>
      </c>
      <c r="AK19" s="819">
        <f t="shared" si="8"/>
        <v>2139</v>
      </c>
      <c r="AL19" s="819">
        <f t="shared" si="8"/>
        <v>0</v>
      </c>
      <c r="AM19" s="832">
        <f t="shared" si="8"/>
        <v>0</v>
      </c>
      <c r="AN19" s="822">
        <f>IF(ISNUMBER(Datos!K19/Datos!J19),Datos!K19/Datos!J19," - ")</f>
        <v>1.1234671125975473</v>
      </c>
      <c r="AO19" s="822">
        <f>IF(ISNUMBER(FIND("06",Criterios!A8,1)),(IF(ISNUMBER(((Datos!R19/Datos!Q19)*11)/factor_trimestre),((Datos!R19/Datos!Q19)*11)/factor_trimestre," - ")),(IF(ISNUMBER(((Datos!L19/Datos!K19)*11)/factor_trimestre),((Datos!L19/Datos!K19)*11)/factor_trimestre," - ")))</f>
        <v>7.8814190027288511</v>
      </c>
      <c r="AP19" s="833" t="str">
        <f>IF(ISNUMBER(Datos!CI19/Datos!CJ19),Datos!CI19/Datos!CJ19," - ")</f>
        <v xml:space="preserve"> - </v>
      </c>
      <c r="AQ19" s="833">
        <f>IF(OR(ISNUMBER(FIND("01",Criterios!A8,1)),ISNUMBER(FIND("02",Criterios!A8,1)),ISNUMBER(FIND("03",Criterios!A8,1)),ISNUMBER(FIND("04",Criterios!A8,1))),(J19-Y19+K19)/(F19-K19),(I19-Y19+K19)/(F19-K19))</f>
        <v>-0.32461161079313167</v>
      </c>
      <c r="AR19" s="833">
        <f>IF(ISNUMBER((Datos!P19-Datos!Q19+O19)/(Datos!R19-Datos!P19+Datos!Q19-O19)),(Datos!P19-Datos!Q19+O19)/(Datos!R19-Datos!P19+Datos!Q19-O19)," - ")</f>
        <v>2.7984611566145446E-2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2460.8000000000002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3428.8832487171876</v>
      </c>
      <c r="G21" s="551">
        <f>IF(ISNUMBER(STDEV(G8:G18)),STDEV(G8:G18),"-")</f>
        <v>3261.5039015766943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196.02108730100102</v>
      </c>
      <c r="AK21" s="251"/>
      <c r="AL21" s="251">
        <f>IF(ISNUMBER(STDEV(AL8:AL18)),STDEV(AL8:AL18),"-")</f>
        <v>0</v>
      </c>
      <c r="AM21" s="253">
        <f>IF(ISNUMBER(STDEV(AM8:AM18)),STDEV(AM8:AM18),"-")</f>
        <v>0</v>
      </c>
      <c r="AN21" s="538">
        <f>IF(ISNUMBER(STDEV(AN8:AN18)),STDEV(AN8:AN18),"-")</f>
        <v>0</v>
      </c>
      <c r="AO21" s="539">
        <f>IF(ISNUMBER(STDEV(AO8:AO18)),STDEV(AO8:AO18),"-")</f>
        <v>3.037570346508248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bbi2eeIcXnl5IZQztQeGFE+8uS7urR2oEd5Whbo3WkjuvEchPiGjozgOn3/8yODYUifUUbkbKEids1/NFCii0Q==" saltValue="0ZANbAxK/77nvb1xGknM/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DvDUHacdsFMXC2+QisuZhNBG8GCaR/iEnmPqhcDbqI7a2xmp5IQmRNc8M1fJV6fmjY4saI79uGy6HfT10PX1xg==" saltValue="7YWLyACvEXFt3TTDdbYvy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TARRAGONA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owMw14isEjN60oQqzd5FAz/V72ueEJ06cztrXVcQ4wh+scbOSk6oOumMGpwCAz23LDzO8QIM3fp5byznlsu6w==" saltValue="xsbhl7ZPQ96nKNDRPyI8T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TARRAGONA  Resumenes por Partidos Judiciales  VENDRELL, EL</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0.21351478179258565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0.1509777500891033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UU/90/8Ml04MLK1kpk/alDMArdrqwnRVRt39E7WyCB8BXmsh+3aGc7s+AY03GGIjmyZQ7gHumzp3hWwK6ivk5Q==" saltValue="Sxqec/7QtAephJ+k+9jTf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bn4qh00J+TUrTw+qcBfgXLEiHlzswMsObTJVbCmKvKc2J4vBzVYEVf1tbSHnnv3ONTOs7ewLuEnb4gd/TbrEBA==" saltValue="/1YFhkOTkgATL8SMmvD8q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TARRAGONA</v>
      </c>
      <c r="D3" s="374"/>
      <c r="E3" s="374"/>
      <c r="F3" s="374"/>
      <c r="BQ3" s="470"/>
    </row>
    <row r="4" spans="1:69" ht="13.5" thickBot="1">
      <c r="A4" s="374"/>
      <c r="B4" s="390" t="str">
        <f>Criterios!A11 &amp;"  "&amp;Criterios!B11</f>
        <v>Resumenes por Partidos Judiciales  VENDRELL, EL</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88</v>
      </c>
      <c r="D10" s="403">
        <f>IF(ISNUMBER(C10/Datos!BH10),C10/Datos!BH10," - ")</f>
        <v>88</v>
      </c>
      <c r="E10" s="402">
        <f>IF(ISNUMBER(Datos!J10),Datos!J10," - ")</f>
        <v>23</v>
      </c>
      <c r="F10" s="403">
        <f>IF(ISNUMBER(E10/B10),E10/B10," - ")</f>
        <v>23</v>
      </c>
      <c r="G10" s="402">
        <f>IF(ISNUMBER(Datos!K10),Datos!K10," - ")</f>
        <v>23</v>
      </c>
      <c r="H10" s="403">
        <f>IF(ISNUMBER(G10/B10),G10/B10," - ")</f>
        <v>23</v>
      </c>
      <c r="I10" s="402">
        <f>IF(ISNUMBER(Datos!L10),Datos!L10," - ")</f>
        <v>88</v>
      </c>
      <c r="J10" s="403">
        <f>IF(ISNUMBER(I10/B10),I10/B10," - ")</f>
        <v>88</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9</v>
      </c>
      <c r="C12" s="402">
        <f>IF(ISNUMBER(IF(J_V="SI",Datos!I12,Datos!I12+Datos!Y12)),IF(J_V="SI",Datos!I12,Datos!I12+Datos!Y12)," - ")</f>
        <v>10310</v>
      </c>
      <c r="D12" s="403">
        <f>IF(ISNUMBER(C12/Datos!BH12),C12/Datos!BH12," - ")</f>
        <v>1145.5555555555557</v>
      </c>
      <c r="E12" s="402">
        <f>IF(ISNUMBER(IF(J_V="SI",Datos!J12,Datos!J12+Datos!Z12)),IF(J_V="SI",Datos!J12,Datos!J12+Datos!Z12)," - ")</f>
        <v>1194</v>
      </c>
      <c r="F12" s="403">
        <f>IF(ISNUMBER(E12/B12),E12/B12," - ")</f>
        <v>132.66666666666666</v>
      </c>
      <c r="G12" s="402">
        <f>IF(ISNUMBER(IF(J_V="SI",Datos!K12,Datos!K12+Datos!AA12)),IF(J_V="SI",Datos!K12,Datos!K12+Datos!AA12)," - ")</f>
        <v>2108</v>
      </c>
      <c r="H12" s="403">
        <f>IF(ISNUMBER(G12/B12),G12/B12," - ")</f>
        <v>234.22222222222223</v>
      </c>
      <c r="I12" s="402">
        <f>IF(ISNUMBER(IF(J_V="SI",Datos!L12,Datos!L12+Datos!AB12)),IF(J_V="SI",Datos!L12,Datos!L12+Datos!AB12)," - ")</f>
        <v>9396</v>
      </c>
      <c r="J12" s="403">
        <f>IF(ISNUMBER(I12/B12),I12/B12," - ")</f>
        <v>1044</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10</v>
      </c>
      <c r="C13" s="848">
        <f>SUBTOTAL(9,C8:C12)</f>
        <v>10398</v>
      </c>
      <c r="D13" s="849" t="str">
        <f>IF(ISNUMBER(C13/Datos!BI13),C13/Datos!BI13," - ")</f>
        <v xml:space="preserve"> - </v>
      </c>
      <c r="E13" s="848">
        <f>SUBTOTAL(9,E8:E12)</f>
        <v>1217</v>
      </c>
      <c r="F13" s="849">
        <f>IF(ISNUMBER(E13/B13),E13/B13," - ")</f>
        <v>121.7</v>
      </c>
      <c r="G13" s="848">
        <f>SUBTOTAL(9,G8:G12)</f>
        <v>2131</v>
      </c>
      <c r="H13" s="849">
        <f>IF(ISNUMBER(G13/B13),G13/B13," - ")</f>
        <v>213.1</v>
      </c>
      <c r="I13" s="848">
        <f>SUBTOTAL(9,I8:I12)</f>
        <v>9484</v>
      </c>
      <c r="J13" s="849">
        <f>IF(ISNUMBER(I13/B13),I13/B13," - ")</f>
        <v>948.4</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9</v>
      </c>
      <c r="C16" s="402">
        <f>IF(ISNUMBER(IF(D_I="SI",Datos!I16,Datos!I16+Datos!AC16)),IF(D_I="SI",Datos!I16,Datos!I16+Datos!AC16)," - ")</f>
        <v>6003</v>
      </c>
      <c r="D16" s="403">
        <f>IF(ISNUMBER(C16/Datos!BH16),C16/Datos!BH16," - ")</f>
        <v>667</v>
      </c>
      <c r="E16" s="402">
        <f>IF(ISNUMBER(IF(D_I="SI",Datos!J16,Datos!J16+Datos!AD16)),IF(D_I="SI",Datos!J16,Datos!J16+Datos!AD16)," - ")</f>
        <v>2262</v>
      </c>
      <c r="F16" s="403">
        <f>IF(ISNUMBER(E16/B16),E16/B16," - ")</f>
        <v>251.33333333333334</v>
      </c>
      <c r="G16" s="402">
        <f>IF(ISNUMBER(IF(D_I="SI",Datos!K16,Datos!K16+Datos!AE16)),IF(D_I="SI",Datos!K16,Datos!K16+Datos!AE16)," - ")</f>
        <v>1761</v>
      </c>
      <c r="H16" s="403">
        <f>IF(ISNUMBER(G16/B16),G16/B16," - ")</f>
        <v>195.66666666666666</v>
      </c>
      <c r="I16" s="402">
        <f>IF(ISNUMBER(IF(D_I="SI",Datos!L16,Datos!L16+Datos!AF16)),IF(D_I="SI",Datos!L16,Datos!L16+Datos!AF16)," - ")</f>
        <v>6528</v>
      </c>
      <c r="J16" s="403">
        <f>IF(ISNUMBER(I16/B16),I16/B16," - ")</f>
        <v>725.33333333333337</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61</v>
      </c>
      <c r="D17" s="403">
        <f>IF(ISNUMBER(C17/Datos!BH17),C17/Datos!BH17," - ")</f>
        <v>61</v>
      </c>
      <c r="E17" s="402">
        <f>IF(ISNUMBER(IF(D_I="SI",Datos!J17,Datos!J17+Datos!AD17)),IF(D_I="SI",Datos!J17,Datos!J17+Datos!AD17)," - ")</f>
        <v>217</v>
      </c>
      <c r="F17" s="403">
        <f>IF(ISNUMBER(E17/B17),E17/B17," - ")</f>
        <v>217</v>
      </c>
      <c r="G17" s="402">
        <f>IF(ISNUMBER(IF(D_I="SI",Datos!K17,Datos!K17+Datos!AE17)),IF(D_I="SI",Datos!K17,Datos!K17+Datos!AE17)," - ")</f>
        <v>201</v>
      </c>
      <c r="H17" s="403">
        <f>IF(ISNUMBER(G17/B17),G17/B17," - ")</f>
        <v>201</v>
      </c>
      <c r="I17" s="402">
        <f>IF(ISNUMBER(IF(D_I="SI",Datos!L17,Datos!L17+Datos!AF17)),IF(D_I="SI",Datos!L17,Datos!L17+Datos!AF17)," - ")</f>
        <v>79</v>
      </c>
      <c r="J17" s="403">
        <f>IF(ISNUMBER(I17/B17),I17/B17," - ")</f>
        <v>79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10</v>
      </c>
      <c r="C18" s="848">
        <f>SUBTOTAL(9,C14:C17)</f>
        <v>6064</v>
      </c>
      <c r="D18" s="849" t="str">
        <f>IF(ISNUMBER(C18/Datos!BI18),C18/Datos!BI18," - ")</f>
        <v xml:space="preserve"> - </v>
      </c>
      <c r="E18" s="848">
        <f>SUBTOTAL(9,E14:E17)</f>
        <v>2479</v>
      </c>
      <c r="F18" s="849">
        <f>IF(ISNUMBER(E18/B18),E18/B18," - ")</f>
        <v>247.9</v>
      </c>
      <c r="G18" s="848">
        <f>SUBTOTAL(9,G14:G17)</f>
        <v>1962</v>
      </c>
      <c r="H18" s="849">
        <f>IF(ISNUMBER(G18/B18),G18/B18," - ")</f>
        <v>196.2</v>
      </c>
      <c r="I18" s="848">
        <f>SUBTOTAL(9,I14:I17)</f>
        <v>6607</v>
      </c>
      <c r="J18" s="849">
        <f>IF(ISNUMBER(I18/B18),I18/B18," - ")</f>
        <v>660.7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10</v>
      </c>
      <c r="C19" s="793">
        <f>SUBTOTAL(9,C9:C18)</f>
        <v>16462</v>
      </c>
      <c r="D19" s="794" t="str">
        <f>IF(ISNUMBER(C19/Datos!BI19),C19/Datos!BI19," - ")</f>
        <v xml:space="preserve"> - </v>
      </c>
      <c r="E19" s="793">
        <f>SUBTOTAL(9,E9:E18)</f>
        <v>3696</v>
      </c>
      <c r="F19" s="794">
        <f>IF(ISNUMBER(E19/B19),E19/B19," - ")</f>
        <v>369.6</v>
      </c>
      <c r="G19" s="793">
        <f>SUBTOTAL(9,G9:G18)</f>
        <v>4093</v>
      </c>
      <c r="H19" s="794">
        <f>IF(ISNUMBER(G19/B19),G19/B19," - ")</f>
        <v>409.3</v>
      </c>
      <c r="I19" s="793">
        <f>SUBTOTAL(9,I9:I18)</f>
        <v>16091</v>
      </c>
      <c r="J19" s="794">
        <f>IF(ISNUMBER(I19/B19),I19/B19," - ")</f>
        <v>1609.1</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cf3jEHOGGkNcFwHDtCmgju0xvZT7u8e3fbBlSuVc5Xiv415x4Au+VZLdL/qEf2v7AgFPoxtPwCDHFw5WEqcDfg==" saltValue="RZxeOs4MGHzRava+fR+rD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TARRAGONA  Resumenes por Partidos Judiciales  VENDRELL, EL</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88</v>
      </c>
      <c r="G10" s="683">
        <f>IF(ISNUMBER(Datos!I10),Datos!I10," - ")</f>
        <v>88</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4</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23</v>
      </c>
      <c r="AC10" s="682" t="str">
        <f>IF(ISNUMBER(IF(D_I="SI",DatosP!K17,DatosP!K17+DatosP!AE17)),IF(D_I="SI",DatosP!K17,DatosP!K17+DatosP!AE17)," - ")</f>
        <v xml:space="preserve"> - </v>
      </c>
      <c r="AD10" s="684"/>
      <c r="AE10" s="684"/>
      <c r="AF10" s="687">
        <f>IF(ISNUMBER(Datos!L10),Datos!L10,"-")</f>
        <v>88</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8</v>
      </c>
      <c r="AM10" s="689">
        <f>IF(ISNUMBER(Datos!N10+DatosP!N17),Datos!N10+DatosP!N17," - ")</f>
        <v>10</v>
      </c>
      <c r="AN10" s="689">
        <f>IF(ISNUMBER(Datos!BW10+DatosP!BW17),Datos!BW10+DatosP!BW17," - ")</f>
        <v>0</v>
      </c>
      <c r="AO10" s="690">
        <f>IF(ISNUMBER(Datos!BX10+DatosP!BX17),Datos!BX10+DatosP!BX17," - ")</f>
        <v>0</v>
      </c>
      <c r="AP10" s="692">
        <f>IF(ISNUMBER(((Datos!L10/Datos!K10)*11)/factor_trimestre),((Datos!L10/Datos!K10)*11)/factor_trimestre," - ")</f>
        <v>7.6521739130434785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9</v>
      </c>
      <c r="B12" s="506" t="s">
        <v>246</v>
      </c>
      <c r="C12" s="7" t="str">
        <f>Datos!A12</f>
        <v xml:space="preserve">Jdos. 1ª Instª. e Instr./Secc. Civil y de Inst. TI                      </v>
      </c>
      <c r="D12" s="507"/>
      <c r="E12" s="681">
        <f>IF(ISNUMBER(Datos!AQ12),Datos!AQ12," - ")</f>
        <v>9</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838</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386</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16081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447</v>
      </c>
      <c r="AM12" s="689">
        <f>IF(ISNUMBER(Datos!N12+DatosP!N16),Datos!N12+DatosP!N16," - ")</f>
        <v>921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8.9146110056925991</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2.89205963273402E-2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10</v>
      </c>
      <c r="F13" s="937">
        <f t="shared" si="0"/>
        <v>88</v>
      </c>
      <c r="G13" s="937">
        <f t="shared" si="0"/>
        <v>88</v>
      </c>
      <c r="H13" s="937">
        <f t="shared" si="0"/>
        <v>0</v>
      </c>
      <c r="I13" s="939">
        <f t="shared" si="0"/>
        <v>0</v>
      </c>
      <c r="J13" s="938">
        <f t="shared" si="0"/>
        <v>0</v>
      </c>
      <c r="K13" s="938">
        <f t="shared" si="0"/>
        <v>0</v>
      </c>
      <c r="L13" s="940">
        <f t="shared" si="0"/>
        <v>0</v>
      </c>
      <c r="M13" s="940">
        <f t="shared" si="0"/>
        <v>0</v>
      </c>
      <c r="N13" s="938">
        <f t="shared" si="0"/>
        <v>842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23</v>
      </c>
      <c r="AC13" s="938">
        <f t="shared" si="1"/>
        <v>0</v>
      </c>
      <c r="AD13" s="938">
        <f t="shared" si="1"/>
        <v>386</v>
      </c>
      <c r="AE13" s="938">
        <f t="shared" si="1"/>
        <v>0</v>
      </c>
      <c r="AF13" s="938">
        <f t="shared" si="1"/>
        <v>88</v>
      </c>
      <c r="AG13" s="938">
        <f t="shared" si="1"/>
        <v>0</v>
      </c>
      <c r="AH13" s="938">
        <f t="shared" si="1"/>
        <v>16081</v>
      </c>
      <c r="AI13" s="938">
        <f t="shared" si="1"/>
        <v>0</v>
      </c>
      <c r="AJ13" s="938">
        <f t="shared" si="1"/>
        <v>0</v>
      </c>
      <c r="AK13" s="938">
        <f t="shared" si="1"/>
        <v>0</v>
      </c>
      <c r="AL13" s="938">
        <f t="shared" si="1"/>
        <v>455</v>
      </c>
      <c r="AM13" s="938">
        <f t="shared" si="1"/>
        <v>931</v>
      </c>
      <c r="AN13" s="938">
        <f t="shared" si="1"/>
        <v>0</v>
      </c>
      <c r="AO13" s="938">
        <f t="shared" si="1"/>
        <v>0</v>
      </c>
      <c r="AP13" s="943">
        <f>IF(ISNUMBER(((Datos!L13/Datos!K13)*11)/factor_trimestre),((Datos!L13/Datos!K13)*11)/factor_trimestre," - ")</f>
        <v>8.9685838569357177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-0.26136363636363635</v>
      </c>
      <c r="AU13" s="938" t="str">
        <f>IF(ISNUMBER((DatosP!#REF!-DatosP!#REF!+DatosP!#REF!)/(DatosP!#REF!+DatosP!#REF!-DatosP!#REF!-DatosP!#REF!)),(DatosP!#REF!-DatosP!#REF!+DatosP!#REF!)/(DatosP!#REF!+DatosP!#REF!-DatosP!#REF!-DatosP!#REF!)," - ")</f>
        <v xml:space="preserve"> - </v>
      </c>
      <c r="AV13" s="944">
        <f>SUBTOTAL(9,AV9:AV12)</f>
        <v>2.89205963273402E-2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9</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6.7349643221202857</v>
      </c>
      <c r="AQ18" s="943">
        <f>IF(ISNUMBER(((Datos!M18/Datos!L18)*11)/factor_trimestre),((Datos!M18/Datos!L18)*11)/factor_trimestre," - ")</f>
        <v>7.4466474950809741E-2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-1.3550135501355014E-2</v>
      </c>
      <c r="AW18" s="945">
        <f>IF(ISNUMBER((Datos!Q18-Datos!R18)/(Datos!S18-Datos!Q18+Datos!R18)),(Datos!Q18-Datos!R18)/(Datos!S18-Datos!Q18+Datos!R18)," - ")</f>
        <v>-6.3435628742514974E-2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10</v>
      </c>
      <c r="F19" s="950">
        <f t="shared" si="4"/>
        <v>88</v>
      </c>
      <c r="G19" s="950">
        <f t="shared" si="4"/>
        <v>88</v>
      </c>
      <c r="H19" s="950">
        <f t="shared" si="4"/>
        <v>0</v>
      </c>
      <c r="I19" s="951">
        <f t="shared" si="4"/>
        <v>0</v>
      </c>
      <c r="J19" s="952">
        <f t="shared" si="4"/>
        <v>0</v>
      </c>
      <c r="K19" s="952">
        <f t="shared" si="4"/>
        <v>0</v>
      </c>
      <c r="L19" s="952">
        <f t="shared" si="4"/>
        <v>0</v>
      </c>
      <c r="M19" s="952">
        <f t="shared" si="4"/>
        <v>0</v>
      </c>
      <c r="N19" s="951">
        <f t="shared" si="4"/>
        <v>842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23</v>
      </c>
      <c r="AC19" s="956">
        <f t="shared" si="5"/>
        <v>0</v>
      </c>
      <c r="AD19" s="956">
        <f t="shared" si="5"/>
        <v>386</v>
      </c>
      <c r="AE19" s="956">
        <f t="shared" si="5"/>
        <v>0</v>
      </c>
      <c r="AF19" s="957">
        <f t="shared" si="5"/>
        <v>88</v>
      </c>
      <c r="AG19" s="957">
        <f t="shared" si="5"/>
        <v>0</v>
      </c>
      <c r="AH19" s="957">
        <f t="shared" si="5"/>
        <v>16081</v>
      </c>
      <c r="AI19" s="957">
        <f t="shared" si="5"/>
        <v>0</v>
      </c>
      <c r="AJ19" s="958">
        <f t="shared" si="5"/>
        <v>0</v>
      </c>
      <c r="AK19" s="958">
        <f t="shared" si="5"/>
        <v>0</v>
      </c>
      <c r="AL19" s="950">
        <f t="shared" si="5"/>
        <v>455</v>
      </c>
      <c r="AM19" s="950">
        <f t="shared" si="5"/>
        <v>931</v>
      </c>
      <c r="AN19" s="950">
        <f t="shared" si="5"/>
        <v>0</v>
      </c>
      <c r="AO19" s="950">
        <f t="shared" si="5"/>
        <v>0</v>
      </c>
      <c r="AP19" s="950">
        <f>IF(ISNUMBER(((Datos!L19/Datos!K19)*11)/factor_trimestre),((Datos!L19/Datos!K19)*11)/factor_trimestre," - ")</f>
        <v>7.8814190027288511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-0.26136363636363635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2.7984611566145446E-2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58.666666666666664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4.8027769744874336</v>
      </c>
      <c r="F21" s="735">
        <f>IF(ISNUMBER(STDEV(F8:F18)),STDEV(F8:F18),"-")</f>
        <v>50.806823688687061</v>
      </c>
      <c r="G21" s="736">
        <f>IF(ISNUMBER(STDEV(G8:G18)),STDEV(G8:G18),"-")</f>
        <v>50.806823688687061</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13.279056191361391</v>
      </c>
      <c r="AC21" s="737">
        <f>IF(ISNUMBER(STDEV(AC8:AC18)),STDEV(AC8:AC18),"-")</f>
        <v>0</v>
      </c>
      <c r="AD21" s="740"/>
      <c r="AE21" s="740"/>
      <c r="AF21" s="740"/>
      <c r="AG21" s="740"/>
      <c r="AH21" s="740"/>
      <c r="AI21" s="740"/>
      <c r="AJ21" s="741">
        <f>IF(ISNUMBER(STDEV(AJ8:AJ18)),STDEV(AJ8:AJ18),"-")</f>
        <v>0</v>
      </c>
      <c r="AK21" s="743"/>
      <c r="AL21" s="735">
        <f>IF(ISNUMBER(STDEV(AL8:AL18)),STDEV(AL8:AL18),"-")</f>
        <v>258.11689858150186</v>
      </c>
      <c r="AM21" s="735"/>
      <c r="AN21" s="735">
        <f>IF(ISNUMBER(STDEV(AN8:AN18)),STDEV(AN8:AN18),"-")</f>
        <v>0</v>
      </c>
      <c r="AO21" s="741">
        <f>IF(ISNUMBER(STDEV(AO8:AO18)),STDEV(AO8:AO18),"-")</f>
        <v>0</v>
      </c>
      <c r="AP21" s="778">
        <f>IF(ISNUMBER(STDEV(AP8:AP18)),STDEV(AP8:AP18),"-")</f>
        <v>1.0766764039992374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CZFcFnQ39fnop3+CLWmkjb7sLJ/lJK8bnF9wvjGh0IOWt3jSclyn1K0LMfSs56TcJ5o1hDhHh3sB80yMqOQS/A==" saltValue="NhBiY4te3C+ZghyubZsdM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TARRAGONA</v>
      </c>
      <c r="C3" s="414"/>
      <c r="F3" s="374"/>
      <c r="G3" s="374"/>
      <c r="H3" s="374"/>
    </row>
    <row r="4" spans="1:15" ht="13.5" thickBot="1">
      <c r="A4" s="374"/>
      <c r="B4" s="390" t="str">
        <f>Criterios!A11 &amp;"  "&amp;Criterios!B11</f>
        <v>Resumenes por Partidos Judiciales  VENDRELL, EL</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9</v>
      </c>
      <c r="D12" s="402">
        <f>Datos!BK12</f>
        <v>0</v>
      </c>
      <c r="E12" s="402">
        <f>Datos!AQ12</f>
        <v>9</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9</v>
      </c>
      <c r="D16" s="402">
        <f>Datos!BK16</f>
        <v>0</v>
      </c>
      <c r="E16" s="402">
        <f>Datos!AQ16</f>
        <v>9</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Zl38qEh3Rk15NfJJos0d0hgnjz2eTzA85cfayfH8nsf/5upYcpUaxl46eFVZ4yntgBAfEU1NazUHp+3P4KY4ew==" saltValue="nIe/eL9+dV42bmVvRp1G2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TARRAGONA</v>
      </c>
      <c r="C3" s="390"/>
      <c r="D3" s="424"/>
      <c r="BZ3" s="470"/>
    </row>
    <row r="4" spans="1:78" ht="13.5" thickBot="1">
      <c r="B4" s="390" t="str">
        <f>Criterios!A11 &amp;"  "&amp;Criterios!B11</f>
        <v>Resumenes por Partidos Judiciales  VENDRELL, EL</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1</v>
      </c>
      <c r="D10" s="402">
        <f>IF(ISNUMBER(Datos!M10),Datos!M10," - ")</f>
        <v>8</v>
      </c>
      <c r="E10" s="403">
        <f>IF(ISNUMBER(D10/B10),D10/B10," - ")</f>
        <v>8</v>
      </c>
      <c r="F10" s="402">
        <f>IF(ISNUMBER(Datos!N10),Datos!N10," - ")</f>
        <v>10</v>
      </c>
      <c r="G10" s="403">
        <f>IF(ISNUMBER(F10/B10),F10/B10," - ")</f>
        <v>10</v>
      </c>
      <c r="H10" s="402">
        <f>IF(ISNUMBER(Datos!O10),Datos!O10," - ")</f>
        <v>4</v>
      </c>
      <c r="I10" s="403">
        <f t="shared" ref="I10:I12" si="2">IF(ISNUMBER(H10/B10),H10/B10," - ")</f>
        <v>4</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9</v>
      </c>
      <c r="C12" s="409">
        <f>Datos!AQ12</f>
        <v>9</v>
      </c>
      <c r="D12" s="402">
        <f>IF(ISNUMBER(Datos!M12),Datos!M12," - ")</f>
        <v>447</v>
      </c>
      <c r="E12" s="403">
        <f t="shared" si="0"/>
        <v>49.666666666666664</v>
      </c>
      <c r="F12" s="402">
        <f>IF(ISNUMBER(Datos!N12),Datos!N12," - ")</f>
        <v>921</v>
      </c>
      <c r="G12" s="403">
        <f t="shared" si="1"/>
        <v>102.33333333333333</v>
      </c>
      <c r="H12" s="402">
        <f>IF(ISNUMBER(Datos!O12),Datos!O12," - ")</f>
        <v>939</v>
      </c>
      <c r="I12" s="403">
        <f t="shared" si="2"/>
        <v>104.33333333333333</v>
      </c>
      <c r="BZ12" s="1185">
        <f>Datos!EZ12</f>
        <v>0</v>
      </c>
    </row>
    <row r="13" spans="1:78" ht="14.25" thickTop="1" thickBot="1">
      <c r="A13" s="847" t="str">
        <f>Datos!A13</f>
        <v>TOTAL</v>
      </c>
      <c r="B13" s="848">
        <f>Datos!AP13</f>
        <v>10</v>
      </c>
      <c r="C13" s="850">
        <f>Datos!AR13</f>
        <v>10</v>
      </c>
      <c r="D13" s="848">
        <f>SUBTOTAL(9,D9:D12)</f>
        <v>455</v>
      </c>
      <c r="E13" s="849">
        <f t="shared" si="0"/>
        <v>45.5</v>
      </c>
      <c r="F13" s="848">
        <f>SUBTOTAL(9,F9:F12)</f>
        <v>931</v>
      </c>
      <c r="G13" s="849">
        <f t="shared" si="1"/>
        <v>93.1</v>
      </c>
      <c r="H13" s="848">
        <f>SUBTOTAL(9,H9:H12)</f>
        <v>943</v>
      </c>
      <c r="I13" s="849">
        <f>IF(ISNUMBER(H13/B13),H13/B13," - ")</f>
        <v>94.3</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9</v>
      </c>
      <c r="C16" s="427">
        <f>Datos!AQ16</f>
        <v>9</v>
      </c>
      <c r="D16" s="402">
        <f>IF(ISNUMBER(Datos!M16),Datos!M16," - ")</f>
        <v>228</v>
      </c>
      <c r="E16" s="403">
        <f t="shared" si="3"/>
        <v>25.333333333333332</v>
      </c>
      <c r="F16" s="402">
        <f>IF(ISNUMBER(Datos!N16),Datos!N16," - ")</f>
        <v>1093</v>
      </c>
      <c r="G16" s="403">
        <f t="shared" si="4"/>
        <v>121.44444444444444</v>
      </c>
      <c r="H16" s="402">
        <f>IF(ISNUMBER(Datos!O16),Datos!O16," - ")</f>
        <v>10</v>
      </c>
      <c r="I16" s="403">
        <f t="shared" si="5"/>
        <v>1.1111111111111112</v>
      </c>
      <c r="BZ16" s="1185">
        <f>Datos!EZ16</f>
        <v>0</v>
      </c>
    </row>
    <row r="17" spans="1:78" ht="13.5" thickBot="1">
      <c r="A17" s="401" t="str">
        <f>Datos!A17</f>
        <v>Jdos. Violencia contra la mujer/Secc Viol. TI.</v>
      </c>
      <c r="B17" s="426">
        <f>Datos!AO17</f>
        <v>1</v>
      </c>
      <c r="C17" s="427">
        <f>Datos!AQ17</f>
        <v>1</v>
      </c>
      <c r="D17" s="402">
        <f>IF(ISNUMBER(Datos!M17),Datos!M17," - ")</f>
        <v>18</v>
      </c>
      <c r="E17" s="403">
        <f>IF(ISNUMBER(D17/B17),D17/B17," - ")</f>
        <v>18</v>
      </c>
      <c r="F17" s="402">
        <f>IF(ISNUMBER(Datos!N17),Datos!N17," - ")</f>
        <v>115</v>
      </c>
      <c r="G17" s="403">
        <f>IF(ISNUMBER(F17/B17),F17/B17," - ")</f>
        <v>115</v>
      </c>
      <c r="H17" s="402">
        <f>IF(ISNUMBER(Datos!O17),Datos!O17," - ")</f>
        <v>2</v>
      </c>
      <c r="I17" s="403">
        <f t="shared" si="5"/>
        <v>2</v>
      </c>
      <c r="BZ17" s="1185">
        <f>Datos!EZ17</f>
        <v>0</v>
      </c>
    </row>
    <row r="18" spans="1:78" ht="14.25" thickTop="1" thickBot="1">
      <c r="A18" s="847" t="str">
        <f>Datos!A18</f>
        <v>TOTAL</v>
      </c>
      <c r="B18" s="848">
        <f>Datos!AP18</f>
        <v>10</v>
      </c>
      <c r="C18" s="850">
        <f>Datos!AR18</f>
        <v>10</v>
      </c>
      <c r="D18" s="848">
        <f>SUBTOTAL(9,D15:D17)</f>
        <v>246</v>
      </c>
      <c r="E18" s="849">
        <f t="shared" si="3"/>
        <v>24.6</v>
      </c>
      <c r="F18" s="848">
        <f>SUBTOTAL(9,F15:F17)</f>
        <v>1208</v>
      </c>
      <c r="G18" s="849">
        <f t="shared" si="4"/>
        <v>120.8</v>
      </c>
      <c r="H18" s="848">
        <f>SUBTOTAL(9,H15:H17)</f>
        <v>12</v>
      </c>
      <c r="I18" s="849">
        <f>IF(ISNUMBER(H18/B18),H18/B18," - ")</f>
        <v>1.2</v>
      </c>
      <c r="BZ18" s="1185"/>
    </row>
    <row r="19" spans="1:78" ht="14.25" thickTop="1" thickBot="1">
      <c r="A19" s="792" t="str">
        <f>Datos!A19</f>
        <v>TOTAL JURISDICCIONES</v>
      </c>
      <c r="B19" s="793">
        <f>Datos!AP19</f>
        <v>10</v>
      </c>
      <c r="C19" s="793">
        <f>Datos!AR19</f>
        <v>10</v>
      </c>
      <c r="D19" s="793">
        <f>SUBTOTAL(9,D8:D18)</f>
        <v>701</v>
      </c>
      <c r="E19" s="794">
        <f>IF(ISNUMBER(D19/B19),D19/B19," - ")</f>
        <v>70.099999999999994</v>
      </c>
      <c r="F19" s="793">
        <f>SUBTOTAL(9,F8:F18)</f>
        <v>2139</v>
      </c>
      <c r="G19" s="794">
        <f>IF(ISNUMBER(F19/B19),F19/B19," - ")</f>
        <v>213.9</v>
      </c>
      <c r="H19" s="793">
        <f>SUBTOTAL(9,H8:H18)</f>
        <v>955</v>
      </c>
      <c r="I19" s="794">
        <f>IF(ISNUMBER(H19/B19),H19/B19," - ")</f>
        <v>95.5</v>
      </c>
    </row>
    <row r="22" spans="1:78">
      <c r="A22" s="390" t="str">
        <f>Criterios!A4</f>
        <v>Fecha Informe: 09 dic. 2025</v>
      </c>
    </row>
    <row r="27" spans="1:78">
      <c r="A27" s="413"/>
    </row>
  </sheetData>
  <sheetProtection algorithmName="SHA-512" hashValue="HOLynm0nhFaDPzKWdPlGNp2EpZEiruHGcVBq69tSWYw0QFWxpDRx5gqhuFstyBlUYXuk3N/11tNSuUz0HCpJGQ==" saltValue="PE+fsxVnEdPD9Y92we3px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TARRAGONA</v>
      </c>
    </row>
    <row r="4" spans="1:4" ht="13.5" thickBot="1">
      <c r="B4" s="390" t="str">
        <f>Criterios!A11 &amp;"  "&amp;Criterios!B11</f>
        <v>Resumenes por Partidos Judiciales  VENDRELL, EL</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4</v>
      </c>
      <c r="C10" s="433">
        <f>IF(ISNUMBER(Datos!Q10),Datos!Q10," - ")</f>
        <v>0</v>
      </c>
      <c r="D10" s="407">
        <f>IF(ISNUMBER(Datos!R10),Datos!R10," - ")</f>
        <v>122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838</v>
      </c>
      <c r="C12" s="433">
        <f>IF(ISNUMBER(Datos!Q12),Datos!Q12," - ")</f>
        <v>386</v>
      </c>
      <c r="D12" s="407">
        <f>IF(ISNUMBER(Datos!R12),Datos!R12," - ")</f>
        <v>16081</v>
      </c>
    </row>
    <row r="13" spans="1:4" ht="14.25" thickTop="1" thickBot="1">
      <c r="A13" s="847" t="str">
        <f>Datos!A13</f>
        <v>TOTAL</v>
      </c>
      <c r="B13" s="848">
        <f>SUBTOTAL(9,B9:B12)</f>
        <v>842</v>
      </c>
      <c r="C13" s="852">
        <f>SUBTOTAL(9,C9:C12)</f>
        <v>386</v>
      </c>
      <c r="D13" s="850">
        <f>SUBTOTAL(9,D9:D12)</f>
        <v>16203</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20</v>
      </c>
      <c r="C16" s="433">
        <f>IF(ISNUMBER(Datos!Q16),Datos!Q16," - ")</f>
        <v>23</v>
      </c>
      <c r="D16" s="407">
        <f>IF(ISNUMBER(Datos!R16),Datos!R16," - ")</f>
        <v>364</v>
      </c>
    </row>
    <row r="17" spans="1:4" ht="13.5" thickBot="1">
      <c r="A17" s="401" t="str">
        <f>Datos!A17</f>
        <v>Jdos. Violencia contra la mujer/Secc Viol. TI.</v>
      </c>
      <c r="B17" s="432">
        <f>IF(ISNUMBER(Datos!P17),Datos!P17," - ")</f>
        <v>0</v>
      </c>
      <c r="C17" s="433">
        <f>IF(ISNUMBER(Datos!Q17),Datos!Q17," - ")</f>
        <v>2</v>
      </c>
      <c r="D17" s="407">
        <f>IF(ISNUMBER(Datos!R17),Datos!R17," - ")</f>
        <v>0</v>
      </c>
    </row>
    <row r="18" spans="1:4" ht="14.25" thickTop="1" thickBot="1">
      <c r="A18" s="847" t="str">
        <f>Datos!A18</f>
        <v>TOTAL</v>
      </c>
      <c r="B18" s="848">
        <f>SUBTOTAL(9,B15:B17)</f>
        <v>20</v>
      </c>
      <c r="C18" s="852">
        <f>SUBTOTAL(9,C15:C17)</f>
        <v>25</v>
      </c>
      <c r="D18" s="850">
        <f>SUBTOTAL(9,D15:D17)</f>
        <v>364</v>
      </c>
    </row>
    <row r="19" spans="1:4" ht="16.5" customHeight="1" thickTop="1" thickBot="1">
      <c r="A19" s="792" t="str">
        <f>Datos!A19</f>
        <v>TOTAL JURISDICCIONES</v>
      </c>
      <c r="B19" s="797">
        <f>SUBTOTAL(9,B8:B18)</f>
        <v>862</v>
      </c>
      <c r="C19" s="798">
        <f>SUBTOTAL(9,C8:C18)</f>
        <v>411</v>
      </c>
      <c r="D19" s="799">
        <f>SUBTOTAL(9,D8:D18)</f>
        <v>16567</v>
      </c>
    </row>
    <row r="20" spans="1:4" ht="7.5" customHeight="1"/>
    <row r="21" spans="1:4" ht="6" customHeight="1"/>
    <row r="22" spans="1:4">
      <c r="A22" s="390" t="str">
        <f>Criterios!A4</f>
        <v>Fecha Informe: 09 dic. 2025</v>
      </c>
    </row>
    <row r="27" spans="1:4">
      <c r="A27" s="413"/>
    </row>
  </sheetData>
  <sheetProtection algorithmName="SHA-512" hashValue="uXjI5ssf0feYUt0MgsTAchTThqKMm0zlbgt46+n1wDM3xidVxoCn6STLLQG/NRxSbyqYDVKyjgGOAy5TCriFRA==" saltValue="pKptzr6cr1m1e9MvzA+Tq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TARRAGONA</v>
      </c>
    </row>
    <row r="4" spans="1:11" ht="10.5" customHeight="1" thickBot="1">
      <c r="B4" s="390" t="str">
        <f>Criterios!A11 &amp;"  "&amp;Criterios!B11</f>
        <v>Resumenes por Partidos Judiciales  VENDRELL, EL</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-4.3478260869565216E-2</v>
      </c>
      <c r="C10" s="455">
        <f>IF(ISNUMBER((Datos!J10-Datos!T10)/Datos!T10),(Datos!J10-Datos!T10)/Datos!T10," - ")</f>
        <v>-0.42499999999999999</v>
      </c>
      <c r="D10" s="455">
        <f>IF(ISNUMBER((Datos!K10-Datos!U10)/Datos!U10),(Datos!K10-Datos!U10)/Datos!U10," - ")</f>
        <v>-0.34285714285714286</v>
      </c>
      <c r="E10" s="455">
        <f>IF(ISNUMBER((Datos!L10-Datos!V10)/Datos!V10),(Datos!L10-Datos!V10)/Datos!V10," - ")</f>
        <v>-9.2783505154639179E-2</v>
      </c>
      <c r="F10" s="455">
        <f>IF(ISNUMBER((Datos!M10-Datos!W10)/Datos!W10),(Datos!M10-Datos!W10)/Datos!W10," - ")</f>
        <v>0.14285714285714285</v>
      </c>
      <c r="G10" s="456">
        <f>IF(ISNUMBER((Datos!N10-Datos!X10)/Datos!X10),(Datos!N10-Datos!X10)/Datos!X10," - ")</f>
        <v>-0.47368421052631576</v>
      </c>
      <c r="H10" s="454">
        <f>IF(ISNUMBER(((NºAsuntos!G10/NºAsuntos!E10)-Datos!BD10)/Datos!BD10),((NºAsuntos!G10/NºAsuntos!E10)-Datos!BD10)/Datos!BD10," - ")</f>
        <v>0.14285714285714285</v>
      </c>
      <c r="I10" s="455">
        <f>IF(ISNUMBER(((NºAsuntos!I10/NºAsuntos!G10)-Datos!BE10)/Datos!BE10),((NºAsuntos!I10/NºAsuntos!G10)-Datos!BE10)/Datos!BE10," - ")</f>
        <v>0.38054683998207089</v>
      </c>
      <c r="J10" s="460">
        <f>IF(ISNUMBER((('Resol  Asuntos'!D10/NºAsuntos!G10)-Datos!BF10)/Datos!BF10),(('Resol  Asuntos'!D10/NºAsuntos!G10)-Datos!BF10)/Datos!BF10," - ")</f>
        <v>0.73913043478260854</v>
      </c>
      <c r="K10" s="461">
        <f>IF(ISNUMBER((((NºAsuntos!C10+NºAsuntos!E10)/NºAsuntos!G10)-Datos!BG10)/Datos!BG10),(((NºAsuntos!C10+NºAsuntos!E10)/NºAsuntos!G10)-Datos!BG10)/Datos!BG10," - ")</f>
        <v>0.27964426877470361</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0.29360100376411541</v>
      </c>
      <c r="C12" s="455">
        <f>IF(ISNUMBER(
   IF(J_V="SI",(Datos!J12-Datos!T12)/Datos!T12,(Datos!J12+Datos!Z12-(Datos!T12+Datos!AH12))/(Datos!T12+Datos!AH12))
     ),IF(J_V="SI",(Datos!J12-Datos!T12)/Datos!T12,(Datos!J12+Datos!Z12-(Datos!T12+Datos!AH12))/(Datos!T12+Datos!AH12))," - ")</f>
        <v>-0.55364485981308409</v>
      </c>
      <c r="D12" s="455">
        <f>IF(ISNUMBER(
   IF(J_V="SI",(Datos!K12-Datos!U12)/Datos!U12,(Datos!K12+Datos!AA12-(Datos!U12+Datos!AI12))/(Datos!U12+Datos!AI12))
     ),IF(J_V="SI",(Datos!K12-Datos!U12)/Datos!U12,(Datos!K12+Datos!AA12-(Datos!U12+Datos!AI12))/(Datos!U12+Datos!AI12))," - ")</f>
        <v>6.8423720223010645E-2</v>
      </c>
      <c r="E12" s="455">
        <f>IF(ISNUMBER(
   IF(J_V="SI",(Datos!L12-Datos!V12)/Datos!V12,(Datos!L12+Datos!AB12-(Datos!V12+Datos!AJ12))/(Datos!V12+Datos!AJ12))
     ),IF(J_V="SI",(Datos!L12-Datos!V12)/Datos!V12,(Datos!L12+Datos!AB12-(Datos!V12+Datos!AJ12))/(Datos!V12+Datos!AJ12))," - ")</f>
        <v>8.3487084870848702E-2</v>
      </c>
      <c r="F12" s="455">
        <f>IF(ISNUMBER((Datos!M12-Datos!W12)/Datos!W12),(Datos!M12-Datos!W12)/Datos!W12," - ")</f>
        <v>-2.6143790849673203E-2</v>
      </c>
      <c r="G12" s="456">
        <f>IF(ISNUMBER((Datos!N12-Datos!X12)/Datos!X12),(Datos!N12-Datos!X12)/Datos!X12," - ")</f>
        <v>0.15994962216624686</v>
      </c>
      <c r="H12" s="454">
        <f>IF(ISNUMBER(((NºAsuntos!G12/NºAsuntos!E12)-Datos!BD12)/Datos!BD12),((NºAsuntos!G12/NºAsuntos!E12)-Datos!BD12)/Datos!BD12," - ")</f>
        <v>1.3936628572835457</v>
      </c>
      <c r="I12" s="455">
        <f>IF(ISNUMBER(((NºAsuntos!I12/NºAsuntos!G12)-Datos!BE12)/Datos!BE12),((NºAsuntos!I12/NºAsuntos!G12)-Datos!BE12)/Datos!BE12," - ")</f>
        <v>1.4098680479214523E-2</v>
      </c>
      <c r="J12" s="460">
        <f>IF(ISNUMBER((('Resol  Asuntos'!D12/NºAsuntos!G12)-Datos!BF12)/Datos!BF12),(('Resol  Asuntos'!D12/NºAsuntos!G12)-Datos!BF12)/Datos!BF12," - ")</f>
        <v>-0.47308143619843329</v>
      </c>
      <c r="K12" s="461">
        <f>IF(ISNUMBER((((NºAsuntos!C12+NºAsuntos!E12)/NºAsuntos!G12)-Datos!BG12)/Datos!BG12),(((NºAsuntos!C12+NºAsuntos!E12)/NºAsuntos!G12)-Datos!BG12)/Datos!BG12," - ")</f>
        <v>1.1485557267801629E-2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0.28975440337385266</v>
      </c>
      <c r="C13" s="854">
        <f>IF(ISNUMBER(
   IF(J_V="SI",(Datos!J13-Datos!T13)/Datos!T13,(Datos!J13+Datos!Z13-(Datos!T13+Datos!AH13))/(Datos!T13+Datos!AH13))
     ),IF(J_V="SI",(Datos!J13-Datos!T13)/Datos!T13,(Datos!J13+Datos!Z13-(Datos!T13+Datos!AH13))/(Datos!T13+Datos!AH13))," - ")</f>
        <v>-0.55174953959484341</v>
      </c>
      <c r="D13" s="854">
        <f>IF(ISNUMBER(
   IF(J_V="SI",(Datos!K13-Datos!U13)/Datos!U13,(Datos!K13+Datos!AA13-(Datos!U13+Datos!AI13))/(Datos!U13+Datos!AI13))
     ),IF(J_V="SI",(Datos!K13-Datos!U13)/Datos!U13,(Datos!K13+Datos!AA13-(Datos!U13+Datos!AI13))/(Datos!U13+Datos!AI13))," - ")</f>
        <v>6.1254980079681276E-2</v>
      </c>
      <c r="E13" s="854">
        <f>IF(ISNUMBER(
   IF(J_V="SI",(Datos!L13-Datos!V13)/Datos!V13,(Datos!L13+Datos!AB13-(Datos!V13+Datos!AJ13))/(Datos!V13+Datos!AJ13))
     ),IF(J_V="SI",(Datos!L13-Datos!V13)/Datos!V13,(Datos!L13+Datos!AB13-(Datos!V13+Datos!AJ13))/(Datos!V13+Datos!AJ13))," - ")</f>
        <v>8.153723343596761E-2</v>
      </c>
      <c r="F13" s="855">
        <f>IF(ISNUMBER((Datos!M13-Datos!W13)/Datos!W13),(Datos!M13-Datos!W13)/Datos!W13," - ")</f>
        <v>-2.3605150214592276E-2</v>
      </c>
      <c r="G13" s="856">
        <f>IF(ISNUMBER((Datos!N13-Datos!X13)/Datos!X13),(Datos!N13-Datos!X13)/Datos!X13," - ")</f>
        <v>0.14514145141451415</v>
      </c>
      <c r="H13" s="856">
        <f>IF(ISNUMBER(((NºAsuntos!G13/NºAsuntos!E13)-Datos!BD13)/Datos!BD13),((NºAsuntos!G13/NºAsuntos!E13)-Datos!BD13)/Datos!BD13," - ")</f>
        <v>1.3675491133248434</v>
      </c>
      <c r="I13" s="856">
        <f>IF(ISNUMBER(((NºAsuntos!I13/NºAsuntos!G13)-Datos!BE13)/Datos!BE13),((NºAsuntos!I13/NºAsuntos!G13)-Datos!BE13)/Datos!BE13," - ")</f>
        <v>1.9111574255946999E-2</v>
      </c>
      <c r="J13" s="856">
        <f>IF(ISNUMBER((('Resol  Asuntos'!D13/NºAsuntos!G13)-Datos!BF13)/Datos!BF13),(('Resol  Asuntos'!D13/NºAsuntos!G13)-Datos!BF13)/Datos!BF13," - ")</f>
        <v>-0.46474696399561549</v>
      </c>
      <c r="K13" s="856">
        <f>IF(ISNUMBER((((NºAsuntos!C13+NºAsuntos!E13)/NºAsuntos!G13)-Datos!BG13)/Datos!BG13),(((NºAsuntos!C13+NºAsuntos!E13)/NºAsuntos!G13)-Datos!BG13)/Datos!BG13," - ")</f>
        <v>1.5550653674529019E-2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0.22210912052117263</v>
      </c>
      <c r="C16" s="455">
        <f>IF(ISNUMBER(
   IF(D_I="SI",(Datos!J16-Datos!T16)/Datos!T16,(Datos!J16+Datos!AD16-(Datos!T16+Datos!AL16))/(Datos!T16+Datos!AL16))
     ),IF(D_I="SI",(Datos!J16-Datos!T16)/Datos!T16,(Datos!J16+Datos!AD16-(Datos!T16+Datos!AL16))/(Datos!T16+Datos!AL16))," - ")</f>
        <v>-0.1198443579766537</v>
      </c>
      <c r="D16" s="455">
        <f>IF(ISNUMBER(
   IF(D_I="SI",(Datos!K16-Datos!U16)/Datos!U16,(Datos!K16+Datos!AE16-(Datos!U16+Datos!AM16))/(Datos!U16+Datos!AM16))
     ),IF(D_I="SI",(Datos!K16-Datos!U16)/Datos!U16,(Datos!K16+Datos!AE16-(Datos!U16+Datos!AM16))/(Datos!U16+Datos!AM16))," - ")</f>
        <v>-0.20424762765476728</v>
      </c>
      <c r="E16" s="455">
        <f>IF(ISNUMBER(
   IF(D_I="SI",(Datos!L16-Datos!V16)/Datos!V16,(Datos!L16+Datos!AF16-(Datos!V16+Datos!AN16))/(Datos!V16+Datos!AN16))
     ),IF(D_I="SI",(Datos!L16-Datos!V16)/Datos!V16,(Datos!L16+Datos!AF16-(Datos!V16+Datos!AN16))/(Datos!V16+Datos!AN16))," - ")</f>
        <v>0.23449319213313161</v>
      </c>
      <c r="F16" s="455">
        <f>IF(ISNUMBER((Datos!M16-Datos!W16)/Datos!W16),(Datos!M16-Datos!W16)/Datos!W16," - ")</f>
        <v>-0.05</v>
      </c>
      <c r="G16" s="456">
        <f>IF(ISNUMBER((Datos!N16-Datos!X16)/Datos!X16),(Datos!N16-Datos!X16)/Datos!X16," - ")</f>
        <v>-0.26545698924731181</v>
      </c>
      <c r="H16" s="454">
        <f>IF(ISNUMBER(((NºAsuntos!G16/NºAsuntos!E16)-Datos!BD16)/Datos!BD16),((NºAsuntos!G16/NºAsuntos!E16)-Datos!BD16)/Datos!BD16," - ")</f>
        <v>-9.5895845743922153E-2</v>
      </c>
      <c r="I16" s="455">
        <f>IF(ISNUMBER(((NºAsuntos!I16/NºAsuntos!G16)-Datos!BE16)/Datos!BE16),((NºAsuntos!I16/NºAsuntos!G16)-Datos!BE16)/Datos!BE16," - ")</f>
        <v>0.55135345496344146</v>
      </c>
      <c r="J16" s="460">
        <f>IF(ISNUMBER((('Resol  Asuntos'!D16/NºAsuntos!G16)-Datos!BF16)/Datos!BF16),(('Resol  Asuntos'!D16/NºAsuntos!G16)-Datos!BF16)/Datos!BF16," - ")</f>
        <v>0.19383872799545704</v>
      </c>
      <c r="K16" s="461">
        <f>IF(ISNUMBER((((NºAsuntos!C16+NºAsuntos!E16)/NºAsuntos!G16)-Datos!BG16)/Datos!BG16),(((NºAsuntos!C16+NºAsuntos!E16)/NºAsuntos!G16)-Datos!BG16)/Datos!BG16," - ")</f>
        <v>0.38818456743657814</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-0.34408602150537637</v>
      </c>
      <c r="C17" s="455">
        <f>IF(ISNUMBER(
   IF(D_I="SI",(Datos!J17-Datos!T17)/Datos!T17,(Datos!J17+Datos!AD17-(Datos!T17+Datos!AL17))/(Datos!T17+Datos!AL17))
     ),IF(D_I="SI",(Datos!J17-Datos!T17)/Datos!T17,(Datos!J17+Datos!AD17-(Datos!T17+Datos!AL17))/(Datos!T17+Datos!AL17))," - ")</f>
        <v>6.3725490196078427E-2</v>
      </c>
      <c r="D17" s="455">
        <f>IF(ISNUMBER(
   IF(D_I="SI",(Datos!K17-Datos!U17)/Datos!U17,(Datos!K17+Datos!AE17-(Datos!U17+Datos!AM17))/(Datos!U17+Datos!AM17))
     ),IF(D_I="SI",(Datos!K17-Datos!U17)/Datos!U17,(Datos!K17+Datos!AE17-(Datos!U17+Datos!AM17))/(Datos!U17+Datos!AM17))," - ")</f>
        <v>3.608247422680412E-2</v>
      </c>
      <c r="E17" s="455">
        <f>IF(ISNUMBER(
   IF(D_I="SI",(Datos!L17-Datos!V17)/Datos!V17,(Datos!L17+Datos!AF17-(Datos!V17+Datos!AN17))/(Datos!V17+Datos!AN17))
     ),IF(D_I="SI",(Datos!L17-Datos!V17)/Datos!V17,(Datos!L17+Datos!AF17-(Datos!V17+Datos!AN17))/(Datos!V17+Datos!AN17))," - ")</f>
        <v>-0.25471698113207547</v>
      </c>
      <c r="F17" s="455">
        <f>IF(ISNUMBER((Datos!M17-Datos!W17)/Datos!W17),(Datos!M17-Datos!W17)/Datos!W17," - ")</f>
        <v>5.8823529411764705E-2</v>
      </c>
      <c r="G17" s="456">
        <f>IF(ISNUMBER((Datos!N17-Datos!X17)/Datos!X17),(Datos!N17-Datos!X17)/Datos!X17," - ")</f>
        <v>-0.12878787878787878</v>
      </c>
      <c r="H17" s="454">
        <f>IF(ISNUMBER(((NºAsuntos!G17/NºAsuntos!E17)-Datos!BD17)/Datos!BD17),((NºAsuntos!G17/NºAsuntos!E17)-Datos!BD17)/Datos!BD17," - ")</f>
        <v>-2.5986982754525122E-2</v>
      </c>
      <c r="I17" s="455">
        <f>IF(ISNUMBER(((NºAsuntos!I17/NºAsuntos!G17)-Datos!BE17)/Datos!BE17),((NºAsuntos!I17/NºAsuntos!G17)-Datos!BE17)/Datos!BE17," - ")</f>
        <v>-0.28067211114240115</v>
      </c>
      <c r="J17" s="460">
        <f>IF(ISNUMBER((('Resol  Asuntos'!D17/NºAsuntos!G17)-Datos!BF17)/Datos!BF17),(('Resol  Asuntos'!D17/NºAsuntos!G17)-Datos!BF17)/Datos!BF17," - ")</f>
        <v>2.1949078138718183E-2</v>
      </c>
      <c r="K17" s="461">
        <f>IF(ISNUMBER((((NºAsuntos!C17+NºAsuntos!E17)/NºAsuntos!G17)-Datos!BG17)/Datos!BG17),(((NºAsuntos!C17+NºAsuntos!E17)/NºAsuntos!G17)-Datos!BG17)/Datos!BG17," - ")</f>
        <v>-9.657101696902691E-2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0.2115884115884116</v>
      </c>
      <c r="C18" s="854">
        <f>IF(ISNUMBER(
   IF(Criterios!B14="SI",(Datos!J18-Datos!T18)/Datos!T18,(Datos!J18+Datos!AD18-(Datos!T18+Datos!AL18))/(Datos!T18+Datos!AL18))
     ),IF(Criterios!B14="SI",(Datos!J18-Datos!T18)/Datos!T18,(Datos!J18+Datos!AD18-(Datos!T18+Datos!AL18))/(Datos!T18+Datos!AL18))," - ")</f>
        <v>-0.10634462869502523</v>
      </c>
      <c r="D18" s="854">
        <f>IF(ISNUMBER(
   IF(Criterios!B14="SI",(Datos!K18-Datos!U18)/Datos!U18,(Datos!K18+Datos!AE18-(Datos!U18+Datos!AM18))/(Datos!U18+Datos!AM18))
     ),IF(Criterios!B14="SI",(Datos!K18-Datos!U18)/Datos!U18,(Datos!K18+Datos!AE18-(Datos!U18+Datos!AM18))/(Datos!U18+Datos!AM18))," - ")</f>
        <v>-0.18487744079767346</v>
      </c>
      <c r="E18" s="854">
        <f>IF(ISNUMBER(
   IF(Criterios!B14="SI",(Datos!L18-Datos!V18)/Datos!V18,(Datos!L18+Datos!AF18-(Datos!V18+Datos!AN18))/(Datos!V18+Datos!AN18))
     ),IF(Criterios!B14="SI",(Datos!L18-Datos!V18)/Datos!V18,(Datos!L18+Datos!AF18-(Datos!V18+Datos!AN18))/(Datos!V18+Datos!AN18))," - ")</f>
        <v>0.22487949573600297</v>
      </c>
      <c r="F18" s="855">
        <f>IF(ISNUMBER((Datos!M18-Datos!W18)/Datos!W18),(Datos!M18-Datos!W18)/Datos!W18," - ")</f>
        <v>-4.2801556420233464E-2</v>
      </c>
      <c r="G18" s="856">
        <f>IF(ISNUMBER((Datos!N18-Datos!X18)/Datos!X18),(Datos!N18-Datos!X18)/Datos!X18," - ")</f>
        <v>-0.25432098765432098</v>
      </c>
      <c r="H18" s="856">
        <f>IF(ISNUMBER(((NºAsuntos!G18/NºAsuntos!E18)-Datos!BD18)/Datos!BD18),((NºAsuntos!G18/NºAsuntos!E18)-Datos!BD18)/Datos!BD18," - ")</f>
        <v>-8.7878185063633013E-2</v>
      </c>
      <c r="I18" s="856">
        <f>IF(ISNUMBER(((NºAsuntos!I18/NºAsuntos!G18)-Datos!BE18)/Datos!BE18),((NºAsuntos!I18/NºAsuntos!G18)-Datos!BE18)/Datos!BE18," - ")</f>
        <v>0.50269365251608533</v>
      </c>
      <c r="J18" s="856">
        <f>IF(ISNUMBER((('Resol  Asuntos'!D18/NºAsuntos!G18)-Datos!BF18)/Datos!BF18),(('Resol  Asuntos'!D18/NºAsuntos!G18)-Datos!BF18)/Datos!BF18," - ")</f>
        <v>0.17430002736824562</v>
      </c>
      <c r="K18" s="856">
        <f>IF(ISNUMBER((((NºAsuntos!C18+NºAsuntos!E18)/NºAsuntos!G18)-Datos!BG18)/Datos!BG18),(((NºAsuntos!C18+NºAsuntos!E18)/NºAsuntos!G18)-Datos!BG18)/Datos!BG18," - ")</f>
        <v>0.34729817686578479</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0.25981480064284074</v>
      </c>
      <c r="C19" s="801">
        <f>IF(ISNUMBER(
   IF(J_V="SI",(Datos!J19-Datos!T19)/Datos!T19,(Datos!J19+Datos!Z19-(Datos!T19+Datos!AH19))/(Datos!T19+Datos!AH19))
     ),IF(J_V="SI",(Datos!J19-Datos!T19)/Datos!T19,(Datos!J19+Datos!Z19-(Datos!T19+Datos!AH19))/(Datos!T19+Datos!AH19))," - ")</f>
        <v>-0.32665330661322645</v>
      </c>
      <c r="D19" s="801">
        <f>IF(ISNUMBER(
   IF(J_V="SI",(Datos!K19-Datos!U19)/Datos!U19,(Datos!K19+Datos!AA19-(Datos!U19+Datos!AI19))/(Datos!U19+Datos!AI19))
     ),IF(J_V="SI",(Datos!K19-Datos!U19)/Datos!U19,(Datos!K19+Datos!AA19-(Datos!U19+Datos!AI19))/(Datos!U19+Datos!AI19))," - ")</f>
        <v>-7.2933182332955829E-2</v>
      </c>
      <c r="E19" s="801">
        <f>IF(ISNUMBER(
   IF(J_V="SI",(Datos!L19-Datos!V19)/Datos!V19,(Datos!L19+Datos!AB19-(Datos!V19+Datos!AJ19))/(Datos!V19+Datos!AJ19))
     ),IF(J_V="SI",(Datos!L19-Datos!V19)/Datos!V19,(Datos!L19+Datos!AB19-(Datos!V19+Datos!AJ19))/(Datos!V19+Datos!AJ19))," - ")</f>
        <v>0.13612935112617383</v>
      </c>
      <c r="F19" s="802">
        <f>IF(ISNUMBER((Datos!M19-Datos!W19)/Datos!W19),(Datos!M19-Datos!W19)/Datos!W19," - ")</f>
        <v>-3.0428769017980636E-2</v>
      </c>
      <c r="G19" s="803">
        <f>IF(ISNUMBER((Datos!N19-Datos!X19)/Datos!X19),(Datos!N19-Datos!X19)/Datos!X19," - ")</f>
        <v>-0.12083847102342787</v>
      </c>
      <c r="H19" s="804">
        <f>IF(ISNUMBER((Tasas!B19-Datos!BD19)/Datos!BD19),(Tasas!B19-Datos!BD19)/Datos!BD19," - ")</f>
        <v>0.37680458933290206</v>
      </c>
      <c r="I19" s="805">
        <f>IF(ISNUMBER((Tasas!C19-Datos!BE19)/Datos!BE19),(Tasas!C19-Datos!BE19)/Datos!BE19," - ")</f>
        <v>0.22550967144443132</v>
      </c>
      <c r="J19" s="806">
        <f>IF(ISNUMBER((Tasas!D19-Datos!BF19)/Datos!BF19),(Tasas!D19-Datos!BF19)/Datos!BF19," - ")</f>
        <v>-0.28530406240171213</v>
      </c>
      <c r="K19" s="806">
        <f>IF(ISNUMBER((Tasas!E19-Datos!BG19)/Datos!BG19),(Tasas!E19-Datos!BG19)/Datos!BG19," - ")</f>
        <v>0.17179607853133563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CykCQ2QUqFuiFR2I+mj6TSrLUBMgvEwYXRWrb1ioNWlrrVKImrkSTZzwpruUOMeJYDiu6fntPSDldkZ85S4Aeg==" saltValue="G+Oxnd6jKpWHCTQNWP1L8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TARRAGONA</v>
      </c>
    </row>
    <row r="4" spans="1:7" ht="11.25" customHeight="1" thickBot="1">
      <c r="B4" s="390" t="str">
        <f>Criterios!A11 &amp;"  "&amp;Criterios!B11</f>
        <v>Resumenes por Partidos Judiciales  VENDRELL, EL</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v>
      </c>
      <c r="C10" s="442">
        <f>IF(ISNUMBER(NºAsuntos!I10/NºAsuntos!G10),NºAsuntos!I10/NºAsuntos!G10," - ")</f>
        <v>3.8260869565217392</v>
      </c>
      <c r="D10" s="443">
        <f>IF(ISNUMBER('Resol  Asuntos'!D10/NºAsuntos!G10),'Resol  Asuntos'!D10/NºAsuntos!G10," - ")</f>
        <v>0.34782608695652173</v>
      </c>
      <c r="E10" s="444">
        <f>IF(ISNUMBER((NºAsuntos!C10+NºAsuntos!E10)/NºAsuntos!G10),(NºAsuntos!C10+NºAsuntos!E10)/NºAsuntos!G10," - ")</f>
        <v>4.8260869565217392</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1.7654941373534339</v>
      </c>
      <c r="C12" s="442">
        <f>IF(ISNUMBER(NºAsuntos!I12/NºAsuntos!G12),NºAsuntos!I12/NºAsuntos!G12," - ")</f>
        <v>4.4573055028462996</v>
      </c>
      <c r="D12" s="443">
        <f>IF(ISNUMBER('Resol  Asuntos'!D12/NºAsuntos!G12),'Resol  Asuntos'!D12/NºAsuntos!G12," - ")</f>
        <v>0.2120493358633776</v>
      </c>
      <c r="E12" s="444">
        <f>IF(ISNUMBER((NºAsuntos!C12+NºAsuntos!E12)/NºAsuntos!G12),(NºAsuntos!C12+NºAsuntos!E12)/NºAsuntos!G12," - ")</f>
        <v>5.4573055028462996</v>
      </c>
      <c r="G12" s="462"/>
    </row>
    <row r="13" spans="1:7" ht="14.25" thickTop="1" thickBot="1">
      <c r="A13" s="847" t="str">
        <f>Datos!A13</f>
        <v>TOTAL</v>
      </c>
      <c r="B13" s="857">
        <f>IF(ISNUMBER(NºAsuntos!G13/NºAsuntos!E13),NºAsuntos!G13/NºAsuntos!E13," - ")</f>
        <v>1.7510271158586688</v>
      </c>
      <c r="C13" s="858">
        <f>IF(ISNUMBER(NºAsuntos!I13/NºAsuntos!G13),NºAsuntos!I13/NºAsuntos!G13," - ")</f>
        <v>4.4504927264195215</v>
      </c>
      <c r="D13" s="859">
        <f>IF(ISNUMBER('Resol  Asuntos'!D13/NºAsuntos!G13),'Resol  Asuntos'!D13/NºAsuntos!G13," - ")</f>
        <v>0.21351478179258565</v>
      </c>
      <c r="E13" s="860">
        <f>IF(ISNUMBER((NºAsuntos!C13+NºAsuntos!E13)/NºAsuntos!G13),(NºAsuntos!C13+NºAsuntos!E13)/NºAsuntos!G13," - ")</f>
        <v>5.4504927264195215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0.77851458885941649</v>
      </c>
      <c r="C16" s="442">
        <f>IF(ISNUMBER(NºAsuntos!I16/NºAsuntos!G16),NºAsuntos!I16/NºAsuntos!G16," - ")</f>
        <v>3.7069846678023852</v>
      </c>
      <c r="D16" s="443">
        <f>IF(ISNUMBER('Resol  Asuntos'!D16/NºAsuntos!G16),'Resol  Asuntos'!D16/NºAsuntos!G16," - ")</f>
        <v>0.12947189097103917</v>
      </c>
      <c r="E16" s="444">
        <f>IF(ISNUMBER((NºAsuntos!C16+NºAsuntos!E16)/NºAsuntos!G16),(NºAsuntos!C16+NºAsuntos!E16)/NºAsuntos!G16," - ")</f>
        <v>4.6933560477001706</v>
      </c>
      <c r="G16" s="462"/>
    </row>
    <row r="17" spans="1:7" ht="21.75" thickBot="1">
      <c r="A17" s="401" t="str">
        <f>Datos!A17</f>
        <v>Jdos. Violencia contra la mujer/Secc Viol. TI.</v>
      </c>
      <c r="B17" s="441">
        <f>IF(ISNUMBER(NºAsuntos!G17/NºAsuntos!E17),NºAsuntos!G17/NºAsuntos!E17," - ")</f>
        <v>0.92626728110599077</v>
      </c>
      <c r="C17" s="442">
        <f>IF(ISNUMBER(NºAsuntos!I17/NºAsuntos!G17),NºAsuntos!I17/NºAsuntos!G17," - ")</f>
        <v>0.39303482587064675</v>
      </c>
      <c r="D17" s="443">
        <f>IF(ISNUMBER('Resol  Asuntos'!D17/NºAsuntos!G17),'Resol  Asuntos'!D17/NºAsuntos!G17," - ")</f>
        <v>8.9552238805970144E-2</v>
      </c>
      <c r="E17" s="444">
        <f>IF(ISNUMBER((NºAsuntos!C17+NºAsuntos!E17)/NºAsuntos!G17),(NºAsuntos!C17+NºAsuntos!E17)/NºAsuntos!G17," - ")</f>
        <v>1.3830845771144278</v>
      </c>
      <c r="G17" s="462"/>
    </row>
    <row r="18" spans="1:7" ht="14.25" thickTop="1" thickBot="1">
      <c r="A18" s="847" t="str">
        <f>Datos!A18</f>
        <v>TOTAL</v>
      </c>
      <c r="B18" s="857">
        <f>IF(ISNUMBER(NºAsuntos!G18/NºAsuntos!E18),NºAsuntos!G18/NºAsuntos!E18," - ")</f>
        <v>0.7914481645824929</v>
      </c>
      <c r="C18" s="858">
        <f>IF(ISNUMBER(NºAsuntos!I18/NºAsuntos!G18),NºAsuntos!I18/NºAsuntos!G18," - ")</f>
        <v>3.3674821610601429</v>
      </c>
      <c r="D18" s="861">
        <f>IF(ISNUMBER('Resol  Asuntos'!D18/NºAsuntos!G18),'Resol  Asuntos'!D18/NºAsuntos!G18," - ")</f>
        <v>0.12538226299694188</v>
      </c>
      <c r="E18" s="860">
        <f>IF(ISNUMBER((NºAsuntos!C18+NºAsuntos!E18)/NºAsuntos!G18),(NºAsuntos!C18+NºAsuntos!E18)/NºAsuntos!G18," - ")</f>
        <v>4.3542303771661572</v>
      </c>
      <c r="G18" s="462"/>
    </row>
    <row r="19" spans="1:7" ht="15.75" customHeight="1" thickTop="1" thickBot="1">
      <c r="A19" s="792" t="str">
        <f>Datos!A19</f>
        <v>TOTAL JURISDICCIONES</v>
      </c>
      <c r="B19" s="807">
        <f>IF(ISNUMBER(NºAsuntos!G19/NºAsuntos!E19),NºAsuntos!G19/NºAsuntos!E19," - ")</f>
        <v>1.10741341991342</v>
      </c>
      <c r="C19" s="808">
        <f>IF(ISNUMBER(NºAsuntos!I19/NºAsuntos!G19),NºAsuntos!I19/NºAsuntos!G19," - ")</f>
        <v>3.9313462008306868</v>
      </c>
      <c r="D19" s="809">
        <f>IF(ISNUMBER('Resol  Asuntos'!D19/NºAsuntos!G19),'Resol  Asuntos'!D19/NºAsuntos!G19," - ")</f>
        <v>0.17126801856828733</v>
      </c>
      <c r="E19" s="810">
        <f>IF(ISNUMBER((NºAsuntos!C19+NºAsuntos!E19)/NºAsuntos!G19),(NºAsuntos!C19+NºAsuntos!E19)/NºAsuntos!G19," - ")</f>
        <v>4.9249938920107503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geM29uITukuPTvJy0iJX6bizayBYaqeL5kMuXOx5DjIiAFEGCP7+JSXvmk9ROSqxq0J1bNskxFPGfX3wA318yQ==" saltValue="JIAAdpdJgPDl4HrGUVVJ3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TARRAGONA</v>
      </c>
      <c r="N2" s="261" t="str">
        <f>Criterios!A11 &amp;"  "&amp;Criterios!B11</f>
        <v>Resumenes por Partidos Judiciales  VENDRELL, EL</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88</v>
      </c>
      <c r="G10" s="332">
        <f>IF(ISNUMBER(Datos!I10),Datos!I10," - ")</f>
        <v>88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4</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23</v>
      </c>
      <c r="X10" s="225">
        <f>IF(ISNUMBER(Datos!Q10),Datos!Q10," - ")</f>
        <v>0</v>
      </c>
      <c r="Y10" s="333">
        <f t="shared" ref="Y10:Y12" si="0">SUM(W10:X10)</f>
        <v>23</v>
      </c>
      <c r="Z10" s="334" t="str">
        <f>IF(ISNUMBER(Datos!CC10),Datos!CC10," - ")</f>
        <v xml:space="preserve"> - </v>
      </c>
      <c r="AA10" s="331">
        <f>IF(ISNUMBER(Datos!L10),Datos!L10,"-")</f>
        <v>88</v>
      </c>
      <c r="AB10" s="333">
        <f>IF(ISNUMBER(Datos!R10),Datos!R10," - ")</f>
        <v>122</v>
      </c>
      <c r="AC10" s="333">
        <f t="shared" ref="AC10:AC12" si="1">IF(ISNUMBER(AA10+AB10),AA10+AB10," - ")</f>
        <v>210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8</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7.6521739130434785</v>
      </c>
      <c r="AN10" s="243">
        <f>IF(ISNUMBER('Resol  Asuntos'!D10/NºAsuntos!G10),'Resol  Asuntos'!D10/NºAsuntos!G10," - ")</f>
        <v>0.34782608695652173</v>
      </c>
      <c r="AO10" s="244">
        <f>IF(ISNUMBER((NºAsuntos!C10+NºAsuntos!E10)/NºAsuntos!G10),(NºAsuntos!C10+NºAsuntos!E10)/NºAsuntos!G10," - ")</f>
        <v>4.8260869565217392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9</v>
      </c>
      <c r="B12" s="274" t="s">
        <v>246</v>
      </c>
      <c r="C12" s="7" t="str">
        <f>Datos!A12</f>
        <v xml:space="preserve">Jdos. 1ª Instª. e Instr./Secc. Civil y de Inst. TI                      </v>
      </c>
      <c r="D12" s="7"/>
      <c r="E12" s="1024">
        <f>IF(ISNUMBER(Datos!AQ12),Datos!AQ12," - ")</f>
        <v>9</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838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386</v>
      </c>
      <c r="Y12" s="333">
        <f t="shared" si="0"/>
        <v>386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16081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447</v>
      </c>
      <c r="AJ12" s="228" t="str">
        <f>IF(ISNUMBER(Datos!BW12),Datos!BW12," - ")</f>
        <v xml:space="preserve"> - </v>
      </c>
      <c r="AK12" s="227" t="str">
        <f>IF(ISNUMBER(Datos!BX12),Datos!BX12," - ")</f>
        <v xml:space="preserve"> - </v>
      </c>
      <c r="AL12" s="242">
        <f>IF(ISNUMBER(NºAsuntos!G12/NºAsuntos!E12),NºAsuntos!G12/NºAsuntos!E12," - ")</f>
        <v>1.7654941373534339</v>
      </c>
      <c r="AM12" s="259">
        <f>IF(ISNUMBER(((NºAsuntos!I12/NºAsuntos!G12)*11)/factor_trimestre),((NºAsuntos!I12/NºAsuntos!G12)*11)/factor_trimestre," - ")</f>
        <v>8.9146110056925991</v>
      </c>
      <c r="AN12" s="243">
        <f>IF(ISNUMBER('Resol  Asuntos'!D12/NºAsuntos!G12),'Resol  Asuntos'!D12/NºAsuntos!G12," - ")</f>
        <v>0.2120493358633776</v>
      </c>
      <c r="AO12" s="244">
        <f>IF(ISNUMBER((NºAsuntos!C12+NºAsuntos!E12)/NºAsuntos!G12),(NºAsuntos!C12+NºAsuntos!E12)/NºAsuntos!G12," - ")</f>
        <v>5.4573055028462996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10</v>
      </c>
      <c r="F13" s="864">
        <f t="shared" si="3"/>
        <v>88</v>
      </c>
      <c r="G13" s="865">
        <f t="shared" si="3"/>
        <v>88</v>
      </c>
      <c r="H13" s="864">
        <f t="shared" si="3"/>
        <v>0</v>
      </c>
      <c r="I13" s="866">
        <f t="shared" si="3"/>
        <v>0</v>
      </c>
      <c r="J13" s="866">
        <f t="shared" si="3"/>
        <v>0</v>
      </c>
      <c r="K13" s="866">
        <f t="shared" si="3"/>
        <v>0</v>
      </c>
      <c r="L13" s="866">
        <f t="shared" si="3"/>
        <v>842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23</v>
      </c>
      <c r="X13" s="866">
        <f t="shared" si="4"/>
        <v>386</v>
      </c>
      <c r="Y13" s="867">
        <f t="shared" si="4"/>
        <v>409</v>
      </c>
      <c r="Z13" s="867">
        <f t="shared" si="4"/>
        <v>0</v>
      </c>
      <c r="AA13" s="867">
        <f t="shared" si="4"/>
        <v>88</v>
      </c>
      <c r="AB13" s="867">
        <f t="shared" si="4"/>
        <v>16203</v>
      </c>
      <c r="AC13" s="867">
        <f t="shared" si="4"/>
        <v>210</v>
      </c>
      <c r="AD13" s="867">
        <f t="shared" si="4"/>
        <v>0</v>
      </c>
      <c r="AE13" s="871">
        <f t="shared" si="4"/>
        <v>0</v>
      </c>
      <c r="AF13" s="864">
        <f t="shared" si="4"/>
        <v>0</v>
      </c>
      <c r="AG13" s="872">
        <f t="shared" si="4"/>
        <v>0</v>
      </c>
      <c r="AH13" s="869">
        <f t="shared" si="4"/>
        <v>0</v>
      </c>
      <c r="AI13" s="864">
        <f t="shared" si="4"/>
        <v>455</v>
      </c>
      <c r="AJ13" s="866">
        <f t="shared" si="4"/>
        <v>0</v>
      </c>
      <c r="AK13" s="869">
        <f>SUBTOTAL(9,AK9:AK12)</f>
        <v>0</v>
      </c>
      <c r="AL13" s="873">
        <f>IF(ISNUMBER(NºAsuntos!G13/NºAsuntos!E13),NºAsuntos!G13/NºAsuntos!E13," - ")</f>
        <v>1.7510271158586688</v>
      </c>
      <c r="AM13" s="873">
        <f>IF(ISNUMBER(((NºAsuntos!I13/NºAsuntos!G13)*11)/factor_trimestre),((NºAsuntos!I13/NºAsuntos!G13)*11)/factor_trimestre," - ")</f>
        <v>8.9009854528390431</v>
      </c>
      <c r="AN13" s="874">
        <f>IF(ISNUMBER('Resol  Asuntos'!D13/NºAsuntos!G13),'Resol  Asuntos'!D13/NºAsuntos!G13," - ")</f>
        <v>0.21351478179258565</v>
      </c>
      <c r="AO13" s="875">
        <f>IF(ISNUMBER((NºAsuntos!C13+NºAsuntos!E13)/NºAsuntos!G13),(NºAsuntos!C13+NºAsuntos!E13)/NºAsuntos!G13," - ")</f>
        <v>5.4504927264195215</v>
      </c>
      <c r="AP13" s="876" t="str">
        <f t="shared" si="2"/>
        <v xml:space="preserve"> - </v>
      </c>
      <c r="AQ13" s="876">
        <f>IF(ISNUMBER((H13-W13+K13)/(F13)),(H13-W13+K13)/(F13)," - ")</f>
        <v>-0.26136363636363635</v>
      </c>
      <c r="AR13" s="877">
        <f>IF(ISNUMBER((Datos!P13-Datos!Q13)/(Datos!R13-Datos!P13+Datos!Q13)),(Datos!P13-Datos!Q13)/(Datos!R13-Datos!P13+Datos!Q13)," - ")</f>
        <v>2.8957896742236616E-2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9</v>
      </c>
      <c r="B16" s="274" t="s">
        <v>396</v>
      </c>
      <c r="C16" s="159" t="str">
        <f>Datos!A16</f>
        <v xml:space="preserve">Jdos. 1ª Instª. e Instr./Secc. Civil y de Inst. TI                      </v>
      </c>
      <c r="D16" s="159"/>
      <c r="E16" s="1024">
        <f>IF(ISNUMBER(Datos!AQ16),Datos!AQ16," - ")</f>
        <v>9</v>
      </c>
      <c r="F16" s="224">
        <f>IF(ISNUMBER(AA16+W16-Datos!J16-K16),AA16+W16-Datos!J16-K16," - ")</f>
        <v>6027</v>
      </c>
      <c r="G16" s="332">
        <f>IF(ISNUMBER(IF(D_I="SI",Datos!I16,Datos!I16+Datos!AC16)),IF(D_I="SI",Datos!I16,Datos!I16+Datos!AC16)," - ")</f>
        <v>6003</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1761</v>
      </c>
      <c r="X16" s="225">
        <f>IF(ISNUMBER(Datos!Q16),Datos!Q16," - ")</f>
        <v>23</v>
      </c>
      <c r="Y16" s="333">
        <f t="shared" ref="Y16:Y17" si="7">SUM(W16:X16)</f>
        <v>1784</v>
      </c>
      <c r="Z16" s="334" t="str">
        <f>IF(ISNUMBER(Datos!CC16),Datos!CC16," - ")</f>
        <v xml:space="preserve"> - </v>
      </c>
      <c r="AA16" s="331">
        <f>IF(ISNUMBER(IF(D_I="SI",Datos!L16,Datos!L16+Datos!AF16)),IF(D_I="SI",Datos!L16,Datos!L16+Datos!AF16)," - ")</f>
        <v>6528</v>
      </c>
      <c r="AB16" s="333">
        <f>IF(ISNUMBER(Datos!R16),Datos!R16," - ")</f>
        <v>364</v>
      </c>
      <c r="AC16" s="333">
        <f t="shared" si="6"/>
        <v>6892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228</v>
      </c>
      <c r="AJ16" s="230" t="str">
        <f>IF(ISNUMBER(Datos!BW16),Datos!BW16," - ")</f>
        <v xml:space="preserve"> - </v>
      </c>
      <c r="AK16" s="231" t="str">
        <f>IF(ISNUMBER(Datos!BX16),Datos!BX16," - ")</f>
        <v xml:space="preserve"> - </v>
      </c>
      <c r="AL16" s="242">
        <f>IF(ISNUMBER(NºAsuntos!G16/NºAsuntos!E16),NºAsuntos!G16/NºAsuntos!E16," - ")</f>
        <v>0.77851458885941649</v>
      </c>
      <c r="AM16" s="259">
        <f>IF(ISNUMBER(((NºAsuntos!I16/NºAsuntos!G16)*11)/factor_trimestre),((NºAsuntos!I16/NºAsuntos!G16)*11)/factor_trimestre," - ")</f>
        <v>7.4139693356047704</v>
      </c>
      <c r="AN16" s="243">
        <f>IF(ISNUMBER('Resol  Asuntos'!D16/NºAsuntos!G16),'Resol  Asuntos'!D16/NºAsuntos!G16," - ")</f>
        <v>0.12947189097103917</v>
      </c>
      <c r="AO16" s="244">
        <f>IF(ISNUMBER((NºAsuntos!C16+NºAsuntos!E16)/NºAsuntos!G16),(NºAsuntos!C16+NºAsuntos!E16)/NºAsuntos!G16," - ")</f>
        <v>4.6933560477001706</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61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201</v>
      </c>
      <c r="X17" s="225">
        <f>IF(ISNUMBER(Datos!Q17),Datos!Q17," - ")</f>
        <v>2</v>
      </c>
      <c r="Y17" s="333">
        <f t="shared" si="7"/>
        <v>203</v>
      </c>
      <c r="Z17" s="334" t="str">
        <f>IF(ISNUMBER(Datos!CC17),Datos!CC17," - ")</f>
        <v xml:space="preserve"> - </v>
      </c>
      <c r="AA17" s="331">
        <f>IF(ISNUMBER(Datos!L17),Datos!L17,"-")</f>
        <v>79</v>
      </c>
      <c r="AB17" s="333">
        <f>IF(ISNUMBER(Datos!R17),Datos!R17," - ")</f>
        <v>0</v>
      </c>
      <c r="AC17" s="333">
        <f t="shared" si="6"/>
        <v>79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18</v>
      </c>
      <c r="AJ17" s="230" t="str">
        <f>IF(ISNUMBER(Datos!BW17),Datos!BW17," - ")</f>
        <v xml:space="preserve"> - </v>
      </c>
      <c r="AK17" s="231" t="str">
        <f>IF(ISNUMBER(Datos!BX17),Datos!BX17," - ")</f>
        <v xml:space="preserve"> - </v>
      </c>
      <c r="AL17" s="242">
        <f>IF(ISNUMBER(NºAsuntos!G17/NºAsuntos!E17),NºAsuntos!G17/NºAsuntos!E17," - ")</f>
        <v>0.92626728110599077</v>
      </c>
      <c r="AM17" s="259">
        <f>IF(ISNUMBER(((NºAsuntos!I17/NºAsuntos!G17)*11)/factor_trimestre),((NºAsuntos!I17/NºAsuntos!G17)*11)/factor_trimestre," - ")</f>
        <v>0.7860696517412934</v>
      </c>
      <c r="AN17" s="243">
        <f>IF(ISNUMBER('Resol  Asuntos'!D17/NºAsuntos!G17),'Resol  Asuntos'!D17/NºAsuntos!G17," - ")</f>
        <v>8.9552238805970144E-2</v>
      </c>
      <c r="AO17" s="244">
        <f>IF(ISNUMBER((NºAsuntos!C17+NºAsuntos!E17)/NºAsuntos!G17),(NºAsuntos!C17+NºAsuntos!E17)/NºAsuntos!G17," - ")</f>
        <v>1.3830845771144278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10</v>
      </c>
      <c r="F18" s="864">
        <f>SUBTOTAL(9,F14:F17)</f>
        <v>6027</v>
      </c>
      <c r="G18" s="865">
        <f>SUBTOTAL(9,G15:G17)</f>
        <v>6064</v>
      </c>
      <c r="H18" s="864">
        <f t="shared" ref="H18:O18" si="10">SUBTOTAL(9,H14:H17)</f>
        <v>0</v>
      </c>
      <c r="I18" s="866">
        <f t="shared" si="10"/>
        <v>0</v>
      </c>
      <c r="J18" s="866">
        <f t="shared" si="10"/>
        <v>0</v>
      </c>
      <c r="K18" s="866">
        <f t="shared" si="10"/>
        <v>0</v>
      </c>
      <c r="L18" s="866">
        <f t="shared" si="10"/>
        <v>20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1962</v>
      </c>
      <c r="X18" s="866">
        <f t="shared" si="11"/>
        <v>25</v>
      </c>
      <c r="Y18" s="867">
        <f t="shared" si="11"/>
        <v>1987</v>
      </c>
      <c r="Z18" s="867">
        <f t="shared" si="11"/>
        <v>0</v>
      </c>
      <c r="AA18" s="867">
        <f t="shared" si="11"/>
        <v>6607</v>
      </c>
      <c r="AB18" s="867">
        <f t="shared" si="11"/>
        <v>364</v>
      </c>
      <c r="AC18" s="867">
        <f t="shared" si="11"/>
        <v>6971</v>
      </c>
      <c r="AD18" s="867">
        <f t="shared" si="11"/>
        <v>0</v>
      </c>
      <c r="AE18" s="871">
        <f t="shared" si="11"/>
        <v>0</v>
      </c>
      <c r="AF18" s="864">
        <f t="shared" si="11"/>
        <v>0</v>
      </c>
      <c r="AG18" s="872">
        <f t="shared" si="11"/>
        <v>0</v>
      </c>
      <c r="AH18" s="869">
        <f t="shared" si="11"/>
        <v>0</v>
      </c>
      <c r="AI18" s="864">
        <f t="shared" si="11"/>
        <v>246</v>
      </c>
      <c r="AJ18" s="866">
        <f t="shared" si="11"/>
        <v>0</v>
      </c>
      <c r="AK18" s="869">
        <f t="shared" si="11"/>
        <v>0</v>
      </c>
      <c r="AL18" s="873">
        <f>IF(ISNUMBER(NºAsuntos!G18/NºAsuntos!E18),NºAsuntos!G18/NºAsuntos!E18," - ")</f>
        <v>0.7914481645824929</v>
      </c>
      <c r="AM18" s="873">
        <f>IF(ISNUMBER(((NºAsuntos!I18/NºAsuntos!G18)*11)/factor_trimestre),((NºAsuntos!I18/NºAsuntos!G18)*11)/factor_trimestre," - ")</f>
        <v>6.7349643221202857</v>
      </c>
      <c r="AN18" s="874">
        <f>IF(ISNUMBER('Resol  Asuntos'!D18/NºAsuntos!G18),'Resol  Asuntos'!D18/NºAsuntos!G18," - ")</f>
        <v>0.12538226299694188</v>
      </c>
      <c r="AO18" s="875">
        <f>IF(ISNUMBER((NºAsuntos!C18+NºAsuntos!E18)/NºAsuntos!G18),(NºAsuntos!C18+NºAsuntos!E18)/NºAsuntos!G18," - ")</f>
        <v>4.3542303771661572</v>
      </c>
      <c r="AP18" s="876" t="str">
        <f t="shared" si="2"/>
        <v xml:space="preserve"> - </v>
      </c>
      <c r="AQ18" s="876">
        <f>IF(ISNUMBER((H18-W18+K18)/(F18)),(H18-W18+K18)/(F18)," - ")</f>
        <v>-0.32553509208561471</v>
      </c>
      <c r="AR18" s="877">
        <f>IF(ISNUMBER((Datos!P18-Datos!Q18)/(Datos!R18-Datos!P18+Datos!Q18)),(Datos!P18-Datos!Q18)/(Datos!R18-Datos!P18+Datos!Q18)," - ")</f>
        <v>-1.3550135501355014E-2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20</v>
      </c>
      <c r="F19" s="819">
        <f t="shared" si="13"/>
        <v>6115</v>
      </c>
      <c r="G19" s="820">
        <f t="shared" si="13"/>
        <v>6152</v>
      </c>
      <c r="H19" s="819">
        <f t="shared" si="13"/>
        <v>0</v>
      </c>
      <c r="I19" s="821">
        <f t="shared" si="13"/>
        <v>0</v>
      </c>
      <c r="J19" s="821">
        <f t="shared" si="13"/>
        <v>0</v>
      </c>
      <c r="K19" s="880">
        <f t="shared" si="13"/>
        <v>0</v>
      </c>
      <c r="L19" s="821">
        <f t="shared" si="13"/>
        <v>862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1985</v>
      </c>
      <c r="X19" s="820">
        <f t="shared" si="14"/>
        <v>411</v>
      </c>
      <c r="Y19" s="827">
        <f t="shared" si="14"/>
        <v>2396</v>
      </c>
      <c r="Z19" s="827">
        <f t="shared" si="14"/>
        <v>0</v>
      </c>
      <c r="AA19" s="827">
        <f t="shared" si="14"/>
        <v>6695</v>
      </c>
      <c r="AB19" s="827">
        <f t="shared" si="14"/>
        <v>16567</v>
      </c>
      <c r="AC19" s="827">
        <f t="shared" si="14"/>
        <v>7181</v>
      </c>
      <c r="AD19" s="827">
        <f t="shared" si="14"/>
        <v>0</v>
      </c>
      <c r="AE19" s="829">
        <f t="shared" si="14"/>
        <v>0</v>
      </c>
      <c r="AF19" s="830">
        <f t="shared" si="14"/>
        <v>0</v>
      </c>
      <c r="AG19" s="831">
        <f t="shared" si="14"/>
        <v>0</v>
      </c>
      <c r="AH19" s="829">
        <f t="shared" si="14"/>
        <v>0</v>
      </c>
      <c r="AI19" s="819">
        <f t="shared" si="14"/>
        <v>701</v>
      </c>
      <c r="AJ19" s="819">
        <f t="shared" si="14"/>
        <v>0</v>
      </c>
      <c r="AK19" s="829">
        <f t="shared" si="14"/>
        <v>0</v>
      </c>
      <c r="AL19" s="883">
        <f>IF(ISNUMBER(NºAsuntos!G19/NºAsuntos!E19),NºAsuntos!G19/NºAsuntos!E19," - ")</f>
        <v>1.10741341991342</v>
      </c>
      <c r="AM19" s="884">
        <f>IF(ISNUMBER(((NºAsuntos!I19/NºAsuntos!G19)*11)/factor_trimestre),((NºAsuntos!I19/NºAsuntos!G19)*11)/factor_trimestre," - ")</f>
        <v>7.8626924016613735</v>
      </c>
      <c r="AN19" s="884">
        <f>IF(ISNUMBER('Resol  Asuntos'!D19/NºAsuntos!G19),'Resol  Asuntos'!D19/NºAsuntos!G19," - ")</f>
        <v>0.17126801856828733</v>
      </c>
      <c r="AO19" s="885">
        <f>IF(ISNUMBER((NºAsuntos!C19+NºAsuntos!E19)/NºAsuntos!G19),(NºAsuntos!C19+NºAsuntos!E19)/NºAsuntos!G19," - ")</f>
        <v>4.9249938920107503</v>
      </c>
      <c r="AP19" s="886" t="str">
        <f t="shared" si="2"/>
        <v xml:space="preserve"> - </v>
      </c>
      <c r="AQ19" s="887">
        <f>IF(OR(ISNUMBER(FIND("01",Criterios!A8,1)),ISNUMBER(FIND("02",Criterios!A8,1)),ISNUMBER(FIND("03",Criterios!A8,1)),ISNUMBER(FIND("04",Criterios!A8,1))),(I19-W19+K19)/(F19-K19),(H19-W19+K19)/(F19-K19))</f>
        <v>-0.32461161079313167</v>
      </c>
      <c r="AR19" s="888">
        <f>IF(ISNUMBER((Datos!P19-Datos!Q19)/(Datos!R19-Datos!P19+Datos!Q19)),(Datos!P19-Datos!Q19)/(Datos!R19-Datos!P19+Datos!Q19)," - ")</f>
        <v>2.7984611566145446E-2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2460.8000000000002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4.8247049420433763</v>
      </c>
      <c r="F21" s="251">
        <f>IF(ISNUMBER(STDEV(F8:F18)),STDEV(F8:F18),"-")</f>
        <v>3428.8832487171876</v>
      </c>
      <c r="G21" s="252">
        <f>IF(ISNUMBER(STDEV(G8:G18)),STDEV(G8:G18),"-")</f>
        <v>3261.5039015766943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979.77599480697631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196.02108730100102</v>
      </c>
      <c r="AJ21" s="251">
        <f t="shared" si="18"/>
        <v>0</v>
      </c>
      <c r="AK21" s="253">
        <f t="shared" si="18"/>
        <v>0</v>
      </c>
      <c r="AL21" s="248">
        <f t="shared" si="18"/>
        <v>0.46412605554392983</v>
      </c>
      <c r="AM21" s="249">
        <f t="shared" si="18"/>
        <v>3.037570346508248</v>
      </c>
      <c r="AN21" s="249">
        <f t="shared" si="18"/>
        <v>9.3589404704183851E-2</v>
      </c>
      <c r="AO21" s="250">
        <f t="shared" si="18"/>
        <v>1.5220822791348969</v>
      </c>
      <c r="AP21" s="290" t="str">
        <f t="shared" si="18"/>
        <v>-</v>
      </c>
      <c r="AQ21" s="291">
        <f t="shared" si="18"/>
        <v>4.5376071499623055E-2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RHPz2GMwt6lFalg9bq3z5c7ijPS0o9Z65dNsjfZvRRkkwCcd2eoEVHlWML2cicn1Tciz8k6Gk7sA1o69zoCgjQ==" saltValue="ACoR+OyK3nr3pe3Kognj2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TARRAGONA</v>
      </c>
      <c r="E3" s="262"/>
    </row>
    <row r="4" spans="2:20" ht="17.25" customHeight="1" thickBot="1">
      <c r="D4" s="261" t="str">
        <f>Criterios!A11 &amp;"  "&amp;Criterios!B11</f>
        <v>Resumenes por Partidos Judiciales  VENDRELL, EL</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-4.3478260869565216E-2</v>
      </c>
      <c r="E10" s="347">
        <f>IF(ISNUMBER((Datos!J10-Datos!T10)/Datos!T10),(Datos!J10-Datos!T10)/Datos!T10," - ")</f>
        <v>-0.42499999999999999</v>
      </c>
      <c r="F10" s="347">
        <f>IF(ISNUMBER((Datos!K10-Datos!U10)/Datos!U10),(Datos!K10-Datos!U10)/Datos!U10," - ")</f>
        <v>-0.34285714285714286</v>
      </c>
      <c r="G10" s="348">
        <f>IF(ISNUMBER((Datos!L10-Datos!V10)/Datos!V10),(Datos!L10-Datos!V10)/Datos!V10," - ")</f>
        <v>-9.2783505154639179E-2</v>
      </c>
      <c r="H10" s="229">
        <f>IF(ISNUMBER((Datos!M10-Datos!W10)/Datos!W10),(Datos!M10-Datos!W10)/Datos!W10," - ")</f>
        <v>0.14285714285714285</v>
      </c>
      <c r="I10" s="349">
        <f>IF(ISNUMBER((Tasas!C10-Datos!BE10)/Datos!BE10),(Tasas!C10-Datos!BE10)/Datos!BE10," - ")</f>
        <v>0.38054683998207089</v>
      </c>
      <c r="J10" s="348">
        <f>IF(ISNUMBER((Tasas!D10-Datos!BF10)/Datos!BF10),(Tasas!D10-Datos!BF10)/Datos!BF10," - ")</f>
        <v>0.73913043478260854</v>
      </c>
      <c r="K10" s="350">
        <f>IF(ISNUMBER((Tasas!E10-Datos!BG10)/Datos!BG10),(Tasas!E10-Datos!BG10)/Datos!BG10," - ")</f>
        <v>0.27964426877470361</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-2.6143790849673203E-2</v>
      </c>
      <c r="I12" s="349">
        <f>IF(ISNUMBER((Tasas!C12-Datos!BE12)/Datos!BE12),(Tasas!C12-Datos!BE12)/Datos!BE12," - ")</f>
        <v>1.4098680479214523E-2</v>
      </c>
      <c r="J12" s="348">
        <f>IF(ISNUMBER((Tasas!D12-Datos!BF12)/Datos!BF12),(Tasas!D12-Datos!BF12)/Datos!BF12," - ")</f>
        <v>-0.47308143619843329</v>
      </c>
      <c r="K12" s="350">
        <f>IF(ISNUMBER((Tasas!E12-Datos!BG12)/Datos!BG12),(Tasas!E12-Datos!BG12)/Datos!BG12," - ")</f>
        <v>1.1485557267801629E-2</v>
      </c>
      <c r="M12" t="e">
        <f>IF(Monitorios="SI",Datos!CE12,0)</f>
        <v>#REF!</v>
      </c>
      <c r="N12" t="e">
        <f>IF(Monitorios="SI",Datos!CF12,0)</f>
        <v>#REF!</v>
      </c>
      <c r="O12" t="e">
        <f>IF(Monitorios="SI",Datos!CG12,0)</f>
        <v>#REF!</v>
      </c>
      <c r="P12" t="e">
        <f>IF(Monitorios="SI",Datos!CH12,0)</f>
        <v>#REF!</v>
      </c>
      <c r="Q12">
        <f>IF(J_V="SI",0,Datos!AG12)</f>
        <v>170</v>
      </c>
      <c r="R12">
        <f>IF(J_V="SI",0,Datos!AH12)</f>
        <v>86</v>
      </c>
      <c r="S12">
        <f>IF(J_V="SI",0,Datos!AI12)</f>
        <v>91</v>
      </c>
      <c r="T12">
        <f>IF(J_V="SI",0,Datos!AJ12)</f>
        <v>165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-2.3605150214592276E-2</v>
      </c>
      <c r="I13" s="356">
        <f>IF(ISNUMBER((Tasas!C13-Datos!BE13)/Datos!BE13),(Tasas!C13-Datos!BE13)/Datos!BE13," - ")</f>
        <v>1.9111574255946999E-2</v>
      </c>
      <c r="J13" s="354">
        <f>IF(ISNUMBER((Tasas!D13-Datos!BF13)/Datos!BF13),(Tasas!D13-Datos!BF13)/Datos!BF13," - ")</f>
        <v>-0.46474696399561549</v>
      </c>
      <c r="K13" s="357">
        <f>IF(ISNUMBER((Tasas!E13-Datos!BG13)/Datos!BG13),(Tasas!E13-Datos!BG13)/Datos!BG13," - ")</f>
        <v>1.5550653674529019E-2</v>
      </c>
      <c r="M13" t="e">
        <f>IF(Monitorios="SI",Datos!CE13,0)</f>
        <v>#REF!</v>
      </c>
      <c r="N13" t="e">
        <f>IF(Monitorios="SI",Datos!CF13,0)</f>
        <v>#REF!</v>
      </c>
      <c r="O13" t="e">
        <f>IF(Monitorios="SI",Datos!CG13,0)</f>
        <v>#REF!</v>
      </c>
      <c r="P13" t="e">
        <f>IF(Monitorios="SI",Datos!CH13,0)</f>
        <v>#REF!</v>
      </c>
      <c r="Q13">
        <f>IF(J_V="SI",0,Datos!AG13)</f>
        <v>170</v>
      </c>
      <c r="R13">
        <f>IF(J_V="SI",0,Datos!AH13)</f>
        <v>86</v>
      </c>
      <c r="S13">
        <f>IF(J_V="SI",0,Datos!AI13)</f>
        <v>91</v>
      </c>
      <c r="T13">
        <f>IF(J_V="SI",0,Datos!AJ13)</f>
        <v>165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0.22210912052117263</v>
      </c>
      <c r="E16" s="347">
        <f>IF(ISNUMBER(
   IF(D_I="SI",(Datos!J16-Datos!T16)/Datos!T16,(Datos!J16+Datos!AD16-(Datos!T16+Datos!AL16))/(Datos!T16+Datos!AL16))
     ),IF(D_I="SI",(Datos!J16-Datos!T16)/Datos!T16,(Datos!J16+Datos!AD16-(Datos!T16+Datos!AL16))/(Datos!T16+Datos!AL16))," - ")</f>
        <v>-0.1198443579766537</v>
      </c>
      <c r="F16" s="347">
        <f>IF(ISNUMBER(
   IF(D_I="SI",(Datos!K16-Datos!U16)/Datos!U16,(Datos!K16+Datos!AE16-(Datos!U16+Datos!AM16))/(Datos!U16+Datos!AM16))
     ),IF(D_I="SI",(Datos!K16-Datos!U16)/Datos!U16,(Datos!K16+Datos!AE16-(Datos!U16+Datos!AM16))/(Datos!U16+Datos!AM16))," - ")</f>
        <v>-0.20424762765476728</v>
      </c>
      <c r="G16" s="348">
        <f>IF(ISNUMBER(
   IF(D_I="SI",(Datos!L16-Datos!V16)/Datos!V16,(Datos!L16+Datos!AF16-(Datos!V16+Datos!AN16))/(Datos!V16+Datos!AN16))
     ),IF(D_I="SI",(Datos!L16-Datos!V16)/Datos!V16,(Datos!L16+Datos!AF16-(Datos!V16+Datos!AN16))/(Datos!V16+Datos!AN16))," - ")</f>
        <v>0.23449319213313161</v>
      </c>
      <c r="H16" s="229">
        <f>IF(ISNUMBER((Datos!M16-Datos!W16)/Datos!W16),(Datos!M16-Datos!W16)/Datos!W16," - ")</f>
        <v>-0.05</v>
      </c>
      <c r="I16" s="349">
        <f>IF(ISNUMBER((Tasas!C16-Datos!BE16)/Datos!BE16),(Tasas!C16-Datos!BE16)/Datos!BE16," - ")</f>
        <v>0.55135345496344146</v>
      </c>
      <c r="J16" s="348">
        <f>IF(ISNUMBER((Tasas!D16-Datos!BF16)/Datos!BF16),(Tasas!D16-Datos!BF16)/Datos!BF16," - ")</f>
        <v>0.19383872799545704</v>
      </c>
      <c r="K16" s="350">
        <f>IF(ISNUMBER((Tasas!E16-Datos!BG16)/Datos!BG16),(Tasas!E16-Datos!BG16)/Datos!BG16," - ")</f>
        <v>0.38818456743657814</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-0.34408602150537637</v>
      </c>
      <c r="E17" s="347">
        <f>IF(ISNUMBER(
   IF(D_I="SI",(Datos!J17-Datos!T17)/Datos!T17,(Datos!J17+Datos!AD17-(Datos!T17+Datos!AL17))/(Datos!T17+Datos!AL17))
     ),IF(D_I="SI",(Datos!J17-Datos!T17)/Datos!T17,(Datos!J17+Datos!AD17-(Datos!T17+Datos!AL17))/(Datos!T17+Datos!AL17))," - ")</f>
        <v>6.3725490196078427E-2</v>
      </c>
      <c r="F17" s="347">
        <f>IF(ISNUMBER(
   IF(D_I="SI",(Datos!K17-Datos!U17)/Datos!U17,(Datos!K17+Datos!AE17-(Datos!U17+Datos!AM17))/(Datos!U17+Datos!AM17))
     ),IF(D_I="SI",(Datos!K17-Datos!U17)/Datos!U17,(Datos!K17+Datos!AE17-(Datos!U17+Datos!AM17))/(Datos!U17+Datos!AM17))," - ")</f>
        <v>3.608247422680412E-2</v>
      </c>
      <c r="G17" s="348">
        <f>IF(ISNUMBER(
   IF(D_I="SI",(Datos!L17-Datos!V17)/Datos!V17,(Datos!L17+Datos!AF17-(Datos!V17+Datos!AN17))/(Datos!V17+Datos!AN17))
     ),IF(D_I="SI",(Datos!L17-Datos!V17)/Datos!V17,(Datos!L17+Datos!AF17-(Datos!V17+Datos!AN17))/(Datos!V17+Datos!AN17))," - ")</f>
        <v>-0.25471698113207547</v>
      </c>
      <c r="H17" s="229">
        <f>IF(ISNUMBER((Datos!M17-Datos!W17)/Datos!W17),(Datos!M17-Datos!W17)/Datos!W17," - ")</f>
        <v>5.8823529411764705E-2</v>
      </c>
      <c r="I17" s="349">
        <f>IF(ISNUMBER((Tasas!C17-Datos!BE17)/Datos!BE17),(Tasas!C17-Datos!BE17)/Datos!BE17," - ")</f>
        <v>-0.28067211114240115</v>
      </c>
      <c r="J17" s="348">
        <f>IF(ISNUMBER((Tasas!D17-Datos!BF17)/Datos!BF17),(Tasas!D17-Datos!BF17)/Datos!BF17," - ")</f>
        <v>2.1949078138718183E-2</v>
      </c>
      <c r="K17" s="350">
        <f>IF(ISNUMBER((Tasas!E17-Datos!BG17)/Datos!BG17),(Tasas!E17-Datos!BG17)/Datos!BG17," - ")</f>
        <v>-9.657101696902691E-2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0.2115884115884116</v>
      </c>
      <c r="E18" s="353">
        <f>IF(ISNUMBER(
   IF(D_I="SI",(Datos!J18-Datos!T18)/Datos!T18,(Datos!J18+Datos!AD18-(Datos!T18+Datos!AL18))/(Datos!T18+Datos!AL18))
     ),IF(D_I="SI",(Datos!J18-Datos!T18)/Datos!T18,(Datos!J18+Datos!AD18-(Datos!T18+Datos!AL18))/(Datos!T18+Datos!AL18))," - ")</f>
        <v>-0.10634462869502523</v>
      </c>
      <c r="F18" s="353">
        <f>IF(ISNUMBER(
   IF(D_I="SI",(Datos!K18-Datos!U18)/Datos!U18,(Datos!K18+Datos!AE18-(Datos!U18+Datos!AM18))/(Datos!U18+Datos!AM18))
     ),IF(D_I="SI",(Datos!K18-Datos!U18)/Datos!U18,(Datos!K18+Datos!AE18-(Datos!U18+Datos!AM18))/(Datos!U18+Datos!AM18))," - ")</f>
        <v>-0.18487744079767346</v>
      </c>
      <c r="G18" s="354">
        <f>IF(ISNUMBER(
   IF(D_I="SI",(Datos!L18-Datos!V18)/Datos!V18,(Datos!L18+Datos!AF18-(Datos!V18+Datos!AN18))/(Datos!V18+Datos!AN18))
     ),IF(D_I="SI",(Datos!L18-Datos!V18)/Datos!V18,(Datos!L18+Datos!AF18-(Datos!V18+Datos!AN18))/(Datos!V18+Datos!AN18))," - ")</f>
        <v>0.22487949573600297</v>
      </c>
      <c r="H18" s="355">
        <f>IF(ISNUMBER((Datos!M18-Datos!W18)/Datos!W18),(Datos!M18-Datos!W18)/Datos!W18," - ")</f>
        <v>-4.2801556420233464E-2</v>
      </c>
      <c r="I18" s="356">
        <f>IF(ISNUMBER((Tasas!C18-Datos!BE18)/Datos!BE18),(Tasas!C18-Datos!BE18)/Datos!BE18," - ")</f>
        <v>0.50269365251608533</v>
      </c>
      <c r="J18" s="354">
        <f>IF(ISNUMBER((Tasas!D18-Datos!BF18)/Datos!BF18),(Tasas!D18-Datos!BF18)/Datos!BF18," - ")</f>
        <v>0.17430002736824562</v>
      </c>
      <c r="K18" s="357">
        <f>IF(ISNUMBER((Tasas!E18-Datos!BG18)/Datos!BG18),(Tasas!E18-Datos!BG18)/Datos!BG18," - ")</f>
        <v>0.34729817686578479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0.25981480064284074</v>
      </c>
      <c r="E19" s="362">
        <f>IF(ISNUMBER(
   IF(J_V="SI",(Datos!J19-Datos!T19)/Datos!T19,(Datos!J19+Datos!Z19-(Datos!T19+Datos!AH19))/(Datos!T19+Datos!AH19))
     ),IF(J_V="SI",(Datos!J19-Datos!T19)/Datos!T19,(Datos!J19+Datos!Z19-(Datos!T19+Datos!AH19))/(Datos!T19+Datos!AH19))," - ")</f>
        <v>-0.32665330661322645</v>
      </c>
      <c r="F19" s="362">
        <f>IF(ISNUMBER(
   IF(J_V="SI",(Datos!K19-Datos!U19)/Datos!U19,(Datos!K19+Datos!AA19-(Datos!U19+Datos!AI19))/(Datos!U19+Datos!AI19))
     ),IF(J_V="SI",(Datos!K19-Datos!U19)/Datos!U19,(Datos!K19+Datos!AA19-(Datos!U19+Datos!AI19))/(Datos!U19+Datos!AI19))," - ")</f>
        <v>-7.2933182332955829E-2</v>
      </c>
      <c r="G19" s="363">
        <f>IF(ISNUMBER(
   IF(J_V="SI",(Datos!L19-Datos!V19)/Datos!V19,(Datos!L19+Datos!AB19-(Datos!V19+Datos!AJ19))/(Datos!V19+Datos!AJ19))
     ),IF(J_V="SI",(Datos!L19-Datos!V19)/Datos!V19,(Datos!L19+Datos!AB19-(Datos!V19+Datos!AJ19))/(Datos!V19+Datos!AJ19))," - ")</f>
        <v>0.13612935112617383</v>
      </c>
      <c r="H19" s="364">
        <f>IF(ISNUMBER((Datos!M19-Datos!W19)/Datos!W19),(Datos!M19-Datos!W19)/Datos!W19," - ")</f>
        <v>-3.0428769017980636E-2</v>
      </c>
      <c r="I19" s="361">
        <f>IF(ISNUMBER((Tasas!C19-Datos!BE19)/Datos!BE19),(Tasas!C19-Datos!BE19)/Datos!BE19," - ")</f>
        <v>0.22550967144443132</v>
      </c>
      <c r="J19" s="362">
        <f>IF(ISNUMBER((Tasas!D19-Datos!BF19)/Datos!BF19),(Tasas!D19-Datos!BF19)/Datos!BF19," - ")</f>
        <v>-0.28530406240171213</v>
      </c>
      <c r="K19" s="363">
        <f>IF(ISNUMBER((Tasas!E19-Datos!BG19)/Datos!BG19),(Tasas!E19-Datos!BG19)/Datos!BG19," - ")</f>
        <v>0.17179607853133563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0.26699288225098589</v>
      </c>
      <c r="E21" s="277">
        <f t="shared" si="1"/>
        <v>0.20337112903016752</v>
      </c>
      <c r="F21" s="277">
        <f t="shared" si="1"/>
        <v>0.15671695914930903</v>
      </c>
      <c r="G21" s="278">
        <f t="shared" si="1"/>
        <v>0.24215595298165424</v>
      </c>
      <c r="H21" s="284">
        <f t="shared" si="1"/>
        <v>7.5971462314998836E-2</v>
      </c>
      <c r="I21" s="276">
        <f t="shared" si="1"/>
        <v>0.33044450772663947</v>
      </c>
      <c r="J21" s="277">
        <f t="shared" si="1"/>
        <v>0.45791708548206317</v>
      </c>
      <c r="K21" s="278">
        <f t="shared" si="1"/>
        <v>0.20502672879907666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2KqdoTuU4KpNFZAWW0t/AWS7Gj+r2Hc7QllGIPUHPTou1WplukKEzmHzHXEpRsvAaM9On1xikV2JM2u2cev4Xg==" saltValue="GZ98funAgl5FTMYg70Kri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2025-12-09T21:49:02Z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